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<sst xmlns="http://schemas.openxmlformats.org/spreadsheetml/2006/main" count="181" uniqueCount="124">
  <si>
    <t>Таблица N Т1</t>
  </si>
  <si>
    <t>Калькуляция расходов, связанных с производством, передачей  и сбытом тепловой энергии,  на 2010 год</t>
  </si>
  <si>
    <t>ОАО "Алатырский механический завод"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</si>
  <si>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</si>
  <si>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</si>
  <si>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</si>
  <si>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</si>
  <si>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</si>
  <si>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</si>
  <si>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</si>
  <si>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</si>
  <si>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 xml:space="preserve">Прирост
к 
тарифу 2008 г. 
</t>
  </si>
  <si>
    <t>Период
регулиро-вания - 2010 год</t>
  </si>
  <si>
    <t xml:space="preserve">Прирост
к 
тарифу 2009 г.
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</si>
  <si>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</si>
  <si>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</si>
  <si>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</si>
  <si>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</si>
  <si>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</si>
  <si>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</si>
  <si>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Прирост
 тарифу
 2009 г.</t>
  </si>
  <si>
    <t>Темп 
роста к
 оценке
 2009 г.</t>
  </si>
  <si>
    <t>Откло-
нение</t>
  </si>
  <si>
    <t>Предус-мотре-но в тарифе</t>
  </si>
  <si>
    <t>Факт</t>
  </si>
  <si>
    <t>Предус-мотрено в тарифе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</si>
  <si>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</si>
  <si>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</si>
  <si>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</si>
  <si>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</si>
  <si>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</si>
  <si>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</si>
  <si>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</si>
  <si>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</si>
  <si>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</si>
  <si>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</si>
  <si>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</si>
  <si>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</si>
  <si>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</si>
  <si>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</si>
  <si>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</si>
  <si>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</si>
  <si>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</si>
  <si>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</si>
  <si>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</si>
  <si>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</si>
  <si>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</si>
  <si>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</si>
  <si>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</si>
  <si>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</si>
  <si>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</si>
  <si>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</si>
  <si>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</si>
  <si>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</si>
  <si>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</si>
  <si>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</si>
  <si>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</si>
  <si>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</si>
  <si>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</si>
  <si>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</si>
  <si>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</si>
  <si>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</si>
  <si>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</si>
  <si>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</si>
  <si>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</si>
  <si>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</si>
  <si>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</si>
  <si>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</si>
  <si>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</si>
  <si>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</si>
  <si>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</si>
  <si>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</si>
  <si>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</si>
  <si>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</si>
  <si>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</si>
  <si>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</si>
  <si>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</si>
  <si>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</si>
  <si>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</si>
  <si>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</si>
  <si>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</si>
  <si>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</si>
  <si>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</si>
  <si>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</si>
  <si>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</t>
  </si>
  <si>
    <t>18.</t>
  </si>
  <si>
    <t>Рентабельность , в %</t>
  </si>
  <si>
    <t>19.</t>
  </si>
  <si>
    <t>Стоимость выработанной теплоэнергии</t>
  </si>
  <si>
    <t>20.</t>
  </si>
  <si>
    <t>Средний тариф, руб./Гкал.</t>
  </si>
  <si>
    <t>21.</t>
  </si>
  <si>
    <t>в т.ч.газовой составляющей</t>
  </si>
  <si>
    <t>22.</t>
  </si>
  <si>
    <t>НВВ расчетная</t>
  </si>
  <si>
    <t>Средняя заработная плата производственных рабочих</t>
  </si>
  <si>
    <t>Расчет полезного отпуска тепловой энергии  теплоснабжающей организации</t>
  </si>
  <si>
    <t>№№ п/п</t>
  </si>
  <si>
    <t>Период регулирования - 2010 год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</si>
  <si>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</si>
  <si>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</si>
  <si>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</si>
  <si>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</si>
  <si>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</si>
  <si>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</si>
  <si>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</si>
  <si>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</si>
  <si>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</si>
  <si>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</si>
  <si>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</si>
  <si>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</si>
  <si>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</si>
  <si>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</si>
  <si>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</si>
  <si>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</si>
  <si>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</si>
  <si>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</si>
  <si>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</si>
  <si>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</si>
  <si>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</si>
  <si>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</si>
  <si>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</si>
  <si>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Полезный   отпуск  теплоэнергии  (стр.6-стр.7)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</si>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</sst>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%"/>
  </numFmts>
  <fonts count="27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sz val="8"/>
      <color indexed="12"/>
      <name val="Arial Cyr"/>
      <family val="2"/>
    </font>
    <font>
      <sz val="8"/>
      <name val="Arial Cyr"/>
      <family val="2"/>
    </font>
    <font>
      <sz val="9.5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.5"/>
      <name val="Arial Cyr"/>
      <family val="0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name val="Times New Roman"/>
      <family val="1"/>
    </font>
    <font>
      <b/>
      <sz val="8"/>
      <color indexed="18"/>
      <name val="Times New Roman"/>
      <family val="1"/>
    </font>
    <font>
      <b/>
      <sz val="11"/>
      <name val="Arial Cyr"/>
      <family val="0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5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9" fontId="0" fillId="0" borderId="2" xfId="0" applyNumberFormat="1" applyBorder="1" applyAlignment="1">
      <alignment/>
    </xf>
    <xf numFmtId="9" fontId="0" fillId="0" borderId="2" xfId="18" applyFill="1" applyBorder="1" applyAlignment="1">
      <alignment/>
    </xf>
    <xf numFmtId="2" fontId="18" fillId="2" borderId="2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9" fontId="0" fillId="3" borderId="2" xfId="18" applyFill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64" fontId="0" fillId="0" borderId="2" xfId="18" applyNumberFormat="1" applyBorder="1" applyAlignment="1">
      <alignment/>
    </xf>
    <xf numFmtId="0" fontId="18" fillId="2" borderId="2" xfId="0" applyFont="1" applyFill="1" applyBorder="1" applyAlignment="1">
      <alignment horizontal="right"/>
    </xf>
    <xf numFmtId="49" fontId="17" fillId="0" borderId="2" xfId="0" applyNumberFormat="1" applyFont="1" applyBorder="1" applyAlignment="1">
      <alignment vertical="top" wrapText="1"/>
    </xf>
    <xf numFmtId="2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" fontId="0" fillId="0" borderId="2" xfId="0" applyNumberFormat="1" applyBorder="1" applyAlignment="1">
      <alignment/>
    </xf>
    <xf numFmtId="49" fontId="16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2" fontId="17" fillId="0" borderId="2" xfId="0" applyNumberFormat="1" applyFont="1" applyBorder="1" applyAlignment="1">
      <alignment vertical="top" wrapText="1"/>
    </xf>
    <xf numFmtId="0" fontId="0" fillId="2" borderId="2" xfId="0" applyFill="1" applyBorder="1" applyAlignment="1">
      <alignment horizontal="right"/>
    </xf>
    <xf numFmtId="16" fontId="16" fillId="0" borderId="2" xfId="0" applyNumberFormat="1" applyFont="1" applyBorder="1" applyAlignment="1">
      <alignment horizontal="center"/>
    </xf>
    <xf numFmtId="2" fontId="19" fillId="2" borderId="2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49" fontId="20" fillId="0" borderId="2" xfId="0" applyNumberFormat="1" applyFont="1" applyBorder="1" applyAlignment="1">
      <alignment vertical="top" wrapText="1"/>
    </xf>
    <xf numFmtId="164" fontId="0" fillId="0" borderId="2" xfId="18" applyNumberFormat="1" applyFill="1" applyBorder="1" applyAlignment="1">
      <alignment/>
    </xf>
    <xf numFmtId="2" fontId="21" fillId="3" borderId="2" xfId="0" applyNumberFormat="1" applyFont="1" applyFill="1" applyBorder="1" applyAlignment="1">
      <alignment/>
    </xf>
    <xf numFmtId="166" fontId="4" fillId="2" borderId="2" xfId="0" applyNumberFormat="1" applyFont="1" applyFill="1" applyBorder="1" applyAlignment="1">
      <alignment horizontal="right"/>
    </xf>
    <xf numFmtId="0" fontId="1" fillId="3" borderId="2" xfId="0" applyFill="1" applyBorder="1" applyAlignment="1">
      <alignment/>
    </xf>
    <xf numFmtId="166" fontId="0" fillId="0" borderId="2" xfId="0" applyNumberFormat="1" applyBorder="1" applyAlignment="1">
      <alignment/>
    </xf>
    <xf numFmtId="2" fontId="22" fillId="3" borderId="2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/>
    </xf>
    <xf numFmtId="9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9" fontId="0" fillId="3" borderId="2" xfId="18" applyFont="1" applyFill="1" applyBorder="1" applyAlignment="1">
      <alignment/>
    </xf>
    <xf numFmtId="2" fontId="18" fillId="3" borderId="2" xfId="0" applyNumberFormat="1" applyFont="1" applyFill="1" applyBorder="1" applyAlignment="1">
      <alignment/>
    </xf>
    <xf numFmtId="2" fontId="1" fillId="3" borderId="2" xfId="0" applyNumberFormat="1" applyFill="1" applyBorder="1" applyAlignment="1">
      <alignment/>
    </xf>
    <xf numFmtId="2" fontId="18" fillId="0" borderId="2" xfId="0" applyNumberFormat="1" applyFont="1" applyBorder="1" applyAlignment="1">
      <alignment/>
    </xf>
    <xf numFmtId="10" fontId="18" fillId="0" borderId="2" xfId="18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49" fontId="23" fillId="0" borderId="2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/>
    </xf>
    <xf numFmtId="0" fontId="0" fillId="0" borderId="2" xfId="0" applyFon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8" fillId="0" borderId="5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left" vertical="center" wrapText="1"/>
    </xf>
    <xf numFmtId="166" fontId="1" fillId="0" borderId="2" xfId="0" applyNumberFormat="1" applyBorder="1" applyAlignment="1">
      <alignment/>
    </xf>
    <xf numFmtId="0" fontId="1" fillId="0" borderId="5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" fillId="0" borderId="2" xfId="0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49" fontId="26" fillId="0" borderId="2" xfId="0" applyNumberFormat="1" applyFont="1" applyBorder="1" applyAlignment="1">
      <alignment horizontal="left" vertical="center" wrapText="1"/>
    </xf>
    <xf numFmtId="0" fontId="1" fillId="0" borderId="7" xfId="0" applyBorder="1" applyAlignment="1">
      <alignment horizontal="center" vertical="top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/>
    </xf>
    <xf numFmtId="49" fontId="26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left" vertical="center" wrapText="1"/>
    </xf>
    <xf numFmtId="167" fontId="0" fillId="0" borderId="2" xfId="18" applyNumberFormat="1" applyBorder="1" applyAlignment="1">
      <alignment/>
    </xf>
    <xf numFmtId="0" fontId="9" fillId="3" borderId="9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5" xfId="0" applyBorder="1" applyAlignment="1">
      <alignment/>
    </xf>
    <xf numFmtId="0" fontId="1" fillId="0" borderId="12" xfId="0" applyBorder="1" applyAlignment="1">
      <alignment/>
    </xf>
    <xf numFmtId="0" fontId="1" fillId="0" borderId="13" xfId="0" applyBorder="1" applyAlignment="1">
      <alignment/>
    </xf>
    <xf numFmtId="0" fontId="1" fillId="0" borderId="13" xfId="0" applyBorder="1" applyAlignment="1">
      <alignment wrapText="1"/>
    </xf>
    <xf numFmtId="0" fontId="1" fillId="0" borderId="0" xfId="0" applyBorder="1" applyAlignment="1">
      <alignment/>
    </xf>
    <xf numFmtId="0" fontId="1" fillId="0" borderId="0" xfId="0" applyBorder="1" applyAlignment="1">
      <alignment wrapText="1"/>
    </xf>
    <xf numFmtId="49" fontId="1" fillId="0" borderId="0" xfId="0" applyNumberForma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10" xfId="0" applyBorder="1" applyAlignment="1">
      <alignment horizontal="center" vertical="top" wrapText="1"/>
    </xf>
    <xf numFmtId="0" fontId="1" fillId="0" borderId="7" xfId="0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/>
    </xf>
    <xf numFmtId="0" fontId="1" fillId="0" borderId="19" xfId="0" applyBorder="1" applyAlignment="1">
      <alignment horizontal="center" vertical="center"/>
    </xf>
    <xf numFmtId="0" fontId="1" fillId="0" borderId="8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40;&#1051;&#1040;&#1058;&#1067;&#1056;&#1068;%20-2010%20&#1075;&#1086;&#1076;\&#1040;&#1052;&#1047;\&#1050;&#1086;&#1087;&#1080;&#1103;%20&#1056;&#1072;&#1089;&#1095;&#1077;&#1090;%20&#1043;&#1086;&#1089;&#1089;&#1083;&#1091;&#1078;&#1073;&#1099;%20&#1040;&#1052;&#1047;%20-%20&#1056;&#1072;&#1089;&#1095;&#1077;&#1090;&#1085;&#1099;&#1077;%20&#1090;&#1072;&#1073;&#1083;&#1080;&#1094;&#1099;%20-&#1064;&#1072;&#1073;&#1083;&#1086;&#1085;%20&#1085;&#1072;%202010%2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.10.1.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3">
        <row r="69">
          <cell r="C69">
            <v>15.83</v>
          </cell>
          <cell r="D69">
            <v>12.149</v>
          </cell>
          <cell r="F69">
            <v>16.647</v>
          </cell>
          <cell r="G69">
            <v>6.389</v>
          </cell>
          <cell r="H69">
            <v>14.465</v>
          </cell>
          <cell r="I69">
            <v>14.493</v>
          </cell>
          <cell r="J69">
            <v>15.489</v>
          </cell>
        </row>
      </sheetData>
      <sheetData sheetId="5">
        <row r="119">
          <cell r="M119">
            <v>6520.58</v>
          </cell>
        </row>
      </sheetData>
      <sheetData sheetId="6">
        <row r="12">
          <cell r="G12">
            <v>2029</v>
          </cell>
        </row>
        <row r="22">
          <cell r="D22">
            <v>3582</v>
          </cell>
          <cell r="G22">
            <v>4911</v>
          </cell>
          <cell r="J22">
            <v>6349875</v>
          </cell>
        </row>
      </sheetData>
      <sheetData sheetId="8">
        <row r="27">
          <cell r="J27">
            <v>395.54</v>
          </cell>
        </row>
      </sheetData>
      <sheetData sheetId="9">
        <row r="12">
          <cell r="G12">
            <v>112.44</v>
          </cell>
        </row>
        <row r="23">
          <cell r="D23">
            <v>252.91</v>
          </cell>
          <cell r="G23">
            <v>367.27</v>
          </cell>
          <cell r="J23">
            <v>586.88</v>
          </cell>
        </row>
      </sheetData>
      <sheetData sheetId="11">
        <row r="6">
          <cell r="F6">
            <v>2129.76</v>
          </cell>
        </row>
      </sheetData>
      <sheetData sheetId="12">
        <row r="11">
          <cell r="G11">
            <v>533.93</v>
          </cell>
        </row>
        <row r="21">
          <cell r="D21">
            <v>866.61</v>
          </cell>
          <cell r="G21">
            <v>1537.43</v>
          </cell>
          <cell r="J21">
            <v>2259.84</v>
          </cell>
        </row>
      </sheetData>
      <sheetData sheetId="14">
        <row r="35">
          <cell r="H35">
            <v>181763.65</v>
          </cell>
          <cell r="I35">
            <v>24280.54</v>
          </cell>
          <cell r="J35">
            <v>17896.76</v>
          </cell>
          <cell r="L35">
            <v>25286.96</v>
          </cell>
        </row>
        <row r="58">
          <cell r="H58">
            <v>664923.8</v>
          </cell>
          <cell r="I58">
            <v>89027.84</v>
          </cell>
          <cell r="J58">
            <v>98432.18</v>
          </cell>
          <cell r="K58">
            <v>74182</v>
          </cell>
          <cell r="L58">
            <v>35549.32</v>
          </cell>
        </row>
        <row r="80">
          <cell r="H80">
            <v>666055.34</v>
          </cell>
          <cell r="I80">
            <v>93247.76</v>
          </cell>
          <cell r="J80">
            <v>99908.3</v>
          </cell>
          <cell r="K80">
            <v>81242</v>
          </cell>
          <cell r="L80">
            <v>38933</v>
          </cell>
        </row>
      </sheetData>
      <sheetData sheetId="16">
        <row r="20">
          <cell r="D20">
            <v>7546.39</v>
          </cell>
          <cell r="G20">
            <v>8908.52</v>
          </cell>
          <cell r="H20">
            <v>9068.43</v>
          </cell>
          <cell r="I20">
            <v>7539.07407407407</v>
          </cell>
        </row>
      </sheetData>
      <sheetData sheetId="19">
        <row r="7">
          <cell r="H7">
            <v>760.15</v>
          </cell>
        </row>
        <row r="8">
          <cell r="H8">
            <v>228.81</v>
          </cell>
        </row>
        <row r="9">
          <cell r="C9">
            <v>386.47</v>
          </cell>
          <cell r="D9">
            <v>453.25</v>
          </cell>
          <cell r="E9">
            <v>101.74</v>
          </cell>
          <cell r="F9">
            <v>403.35</v>
          </cell>
          <cell r="G9">
            <v>403.35</v>
          </cell>
        </row>
        <row r="13">
          <cell r="H13">
            <v>26.16</v>
          </cell>
        </row>
        <row r="17">
          <cell r="C17">
            <v>1872.32</v>
          </cell>
          <cell r="E17">
            <v>514.1</v>
          </cell>
          <cell r="F17">
            <v>2643.47</v>
          </cell>
          <cell r="G17">
            <v>2505.71</v>
          </cell>
        </row>
      </sheetData>
      <sheetData sheetId="20">
        <row r="20">
          <cell r="J20">
            <v>142.2</v>
          </cell>
        </row>
      </sheetData>
      <sheetData sheetId="26">
        <row r="10">
          <cell r="C10">
            <v>899.4</v>
          </cell>
          <cell r="E10">
            <v>216.42</v>
          </cell>
          <cell r="F10">
            <v>1044.25</v>
          </cell>
          <cell r="G10">
            <v>907.9</v>
          </cell>
          <cell r="H10">
            <v>308.68</v>
          </cell>
        </row>
      </sheetData>
      <sheetData sheetId="29">
        <row r="13">
          <cell r="D13">
            <v>526.28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G7">
      <selection activeCell="X18" sqref="X18"/>
    </sheetView>
  </sheetViews>
  <sheetFormatPr defaultColWidth="9.33203125" defaultRowHeight="12.75"/>
  <cols>
    <col min="1" max="1" width="5.33203125" style="0" customWidth="1"/>
    <col min="2" max="2" width="53.83203125" style="0" customWidth="1"/>
    <col min="4" max="4" width="10" style="0" customWidth="1"/>
    <col min="5" max="5" width="11" style="0" customWidth="1"/>
    <col min="6" max="6" width="9.66015625" style="0" customWidth="1"/>
    <col min="7" max="7" width="13.16015625" style="0" customWidth="1"/>
    <col min="8" max="8" width="12" style="0" customWidth="1"/>
    <col min="9" max="9" width="7.83203125" style="0" customWidth="1"/>
    <col min="10" max="10" width="11.16015625" style="0" bestFit="1" customWidth="1"/>
    <col min="11" max="11" width="7.66015625" style="0" customWidth="1"/>
    <col min="13" max="13" width="0.328125" style="0" customWidth="1"/>
    <col min="14" max="14" width="6.66015625" style="0" hidden="1" customWidth="1"/>
    <col min="15" max="15" width="0.328125" style="0" hidden="1" customWidth="1"/>
    <col min="16" max="16" width="5.5" style="0" hidden="1" customWidth="1"/>
    <col min="17" max="17" width="7.66015625" style="0" hidden="1" customWidth="1"/>
    <col min="19" max="19" width="6.5" style="0" customWidth="1"/>
    <col min="20" max="20" width="8.83203125" style="0" customWidth="1"/>
    <col min="21" max="21" width="0.1640625" style="0" customWidth="1"/>
    <col min="22" max="22" width="9" style="0" customWidth="1"/>
    <col min="23" max="23" width="11.33203125" style="0" customWidth="1"/>
  </cols>
  <sheetData>
    <row r="1" spans="3:22" ht="12" customHeight="1">
      <c r="C1" s="112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2" customHeight="1">
      <c r="A2" s="2"/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" customHeight="1">
      <c r="A3" s="2"/>
      <c r="B3" s="2"/>
      <c r="C3" s="4" t="s">
        <v>2</v>
      </c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12" ht="2.25" customHeight="1">
      <c r="A4" s="2"/>
      <c r="B4" s="5"/>
      <c r="C4" s="5"/>
      <c r="D4" s="5"/>
      <c r="E4" s="5"/>
      <c r="F4" s="5"/>
      <c r="G4" s="5"/>
      <c r="H4" s="5"/>
      <c r="I4" s="5"/>
      <c r="J4" s="6"/>
      <c r="K4" s="6"/>
      <c r="L4" s="6"/>
    </row>
    <row r="5" spans="1:23" ht="12.75" customHeight="1">
      <c r="A5" s="114" t="s">
        <v>3</v>
      </c>
      <c r="B5" s="115" t="s">
        <v>4</v>
      </c>
      <c r="C5" s="116" t="s">
        <v>5</v>
      </c>
      <c r="D5" s="117"/>
      <c r="E5" s="117"/>
      <c r="F5" s="117"/>
      <c r="G5" s="117"/>
      <c r="H5" s="117"/>
      <c r="I5" s="117"/>
      <c r="J5" s="118"/>
      <c r="K5" s="7"/>
      <c r="L5" s="7"/>
      <c r="M5" s="108" t="s">
        <v>6</v>
      </c>
      <c r="N5" s="90"/>
      <c r="O5" s="91" t="s">
        <v>7</v>
      </c>
      <c r="P5" s="92"/>
      <c r="Q5" s="92"/>
      <c r="R5" s="92"/>
      <c r="S5" s="92"/>
      <c r="T5" s="92"/>
      <c r="U5" s="92"/>
      <c r="V5" s="83"/>
      <c r="W5" s="8"/>
    </row>
    <row r="6" spans="1:22" ht="13.5" customHeight="1">
      <c r="A6" s="114"/>
      <c r="B6" s="115"/>
      <c r="C6" s="77" t="s">
        <v>8</v>
      </c>
      <c r="D6" s="77"/>
      <c r="E6" s="78" t="s">
        <v>9</v>
      </c>
      <c r="F6" s="19"/>
      <c r="G6" s="19"/>
      <c r="H6" s="106" t="s">
        <v>10</v>
      </c>
      <c r="I6" s="106" t="s">
        <v>11</v>
      </c>
      <c r="J6" s="106" t="s">
        <v>12</v>
      </c>
      <c r="K6" s="106" t="s">
        <v>10</v>
      </c>
      <c r="L6" s="109" t="s">
        <v>13</v>
      </c>
      <c r="M6" s="111" t="s">
        <v>14</v>
      </c>
      <c r="N6" s="103" t="s">
        <v>15</v>
      </c>
      <c r="O6" s="105" t="s">
        <v>16</v>
      </c>
      <c r="P6" s="102" t="s">
        <v>17</v>
      </c>
      <c r="Q6" s="106" t="s">
        <v>18</v>
      </c>
      <c r="R6" s="101" t="s">
        <v>19</v>
      </c>
      <c r="S6" s="102" t="s">
        <v>17</v>
      </c>
      <c r="T6" s="100" t="s">
        <v>20</v>
      </c>
      <c r="U6" s="100" t="s">
        <v>21</v>
      </c>
      <c r="V6" s="100" t="s">
        <v>22</v>
      </c>
    </row>
    <row r="7" spans="1:22" ht="44.25" customHeight="1">
      <c r="A7" s="114"/>
      <c r="B7" s="115"/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107"/>
      <c r="I7" s="107"/>
      <c r="J7" s="107"/>
      <c r="K7" s="107"/>
      <c r="L7" s="110"/>
      <c r="M7" s="111"/>
      <c r="N7" s="104"/>
      <c r="O7" s="105"/>
      <c r="P7" s="102"/>
      <c r="Q7" s="107"/>
      <c r="R7" s="101"/>
      <c r="S7" s="102"/>
      <c r="T7" s="100"/>
      <c r="U7" s="100"/>
      <c r="V7" s="100"/>
    </row>
    <row r="8" spans="1:22" ht="12.75">
      <c r="A8" s="10" t="s">
        <v>28</v>
      </c>
      <c r="B8" s="11" t="s">
        <v>29</v>
      </c>
      <c r="C8" s="12">
        <v>4457.4</v>
      </c>
      <c r="D8" s="13">
        <f>'[1]Топливо'!D22</f>
        <v>3582</v>
      </c>
      <c r="E8" s="12">
        <v>5568.17</v>
      </c>
      <c r="F8" s="13">
        <f>'[1]Топливо'!G12</f>
        <v>2029</v>
      </c>
      <c r="G8" s="13">
        <f>'[1]Топливо'!G22</f>
        <v>4911</v>
      </c>
      <c r="H8" s="14">
        <f>G8/G$39</f>
        <v>0.5189525848208238</v>
      </c>
      <c r="I8" s="15">
        <f>G8/E8-1</f>
        <v>-0.11802261784392365</v>
      </c>
      <c r="J8" s="16">
        <f>ROUND(('[1]Топливо'!J22/1000),2)</f>
        <v>6349.88</v>
      </c>
      <c r="K8" s="14">
        <f>J8/J$39</f>
        <v>0.4118107866444488</v>
      </c>
      <c r="L8" s="15">
        <f>J8/E8-1</f>
        <v>0.14038903266243663</v>
      </c>
      <c r="M8" s="17"/>
      <c r="N8" s="18">
        <f aca="true" t="shared" si="0" ref="N8:N36">M8/E8-1</f>
        <v>-1</v>
      </c>
      <c r="O8" s="20"/>
      <c r="P8" s="14" t="e">
        <f>O8/O$39</f>
        <v>#DIV/0!</v>
      </c>
      <c r="Q8" s="20">
        <f>O8/E8-1</f>
        <v>-1</v>
      </c>
      <c r="R8" s="21">
        <f>'[1]Т3'!M119</f>
        <v>6520.58</v>
      </c>
      <c r="S8" s="14">
        <f>R8/R$39</f>
        <v>0.5453061328967355</v>
      </c>
      <c r="T8" s="22">
        <f>R8/E8-1</f>
        <v>0.17104542425967595</v>
      </c>
      <c r="U8" s="20" t="e">
        <f>R8/O8-1</f>
        <v>#DIV/0!</v>
      </c>
      <c r="V8" s="20">
        <f>R8-J8</f>
        <v>170.69999999999982</v>
      </c>
    </row>
    <row r="9" spans="1:22" ht="12.75">
      <c r="A9" s="10" t="s">
        <v>30</v>
      </c>
      <c r="B9" s="11" t="s">
        <v>31</v>
      </c>
      <c r="C9" s="12">
        <v>247.9</v>
      </c>
      <c r="D9" s="13">
        <f>'[1]вода'!D23</f>
        <v>252.91</v>
      </c>
      <c r="E9" s="12">
        <v>444.02</v>
      </c>
      <c r="F9" s="13">
        <f>'[1]вода'!G12</f>
        <v>112.44</v>
      </c>
      <c r="G9" s="13">
        <f>'[1]вода'!G23</f>
        <v>367.27</v>
      </c>
      <c r="H9" s="14">
        <f aca="true" t="shared" si="1" ref="H9:H33">G9/G$39</f>
        <v>0.038809960461646094</v>
      </c>
      <c r="I9" s="15">
        <f>G9/E9-1</f>
        <v>-0.17285257420836897</v>
      </c>
      <c r="J9" s="16">
        <f>ROUND(('[1]вода'!J23),2)</f>
        <v>586.88</v>
      </c>
      <c r="K9" s="14">
        <f>J9/J$39</f>
        <v>0.03806111524405093</v>
      </c>
      <c r="L9" s="15">
        <f>J9/E9-1</f>
        <v>0.32174226386198823</v>
      </c>
      <c r="M9" s="17"/>
      <c r="N9" s="18">
        <f t="shared" si="0"/>
        <v>-1</v>
      </c>
      <c r="O9" s="20"/>
      <c r="P9" s="14" t="e">
        <f>O9/O$39</f>
        <v>#DIV/0!</v>
      </c>
      <c r="Q9" s="20">
        <f aca="true" t="shared" si="2" ref="Q9:Q40">O9/E9-1</f>
        <v>-1</v>
      </c>
      <c r="R9" s="21">
        <f>'[1]Табл.5'!J27</f>
        <v>395.54</v>
      </c>
      <c r="S9" s="14">
        <f>R9/R$39</f>
        <v>0.03307840526547865</v>
      </c>
      <c r="T9" s="22">
        <f>R9/E9-1</f>
        <v>-0.10918427097878469</v>
      </c>
      <c r="U9" s="20" t="e">
        <f aca="true" t="shared" si="3" ref="U9:U39">R9/O9-1</f>
        <v>#DIV/0!</v>
      </c>
      <c r="V9" s="20">
        <f aca="true" t="shared" si="4" ref="V9:V40">R9-J9</f>
        <v>-191.33999999999997</v>
      </c>
    </row>
    <row r="10" spans="1:22" ht="14.25" customHeight="1">
      <c r="A10" s="10" t="s">
        <v>32</v>
      </c>
      <c r="B10" s="11" t="s">
        <v>33</v>
      </c>
      <c r="C10" s="13">
        <v>1362.5</v>
      </c>
      <c r="D10" s="13">
        <f>'[1]э.энергия'!D21</f>
        <v>866.61</v>
      </c>
      <c r="E10" s="12">
        <v>1705.2</v>
      </c>
      <c r="F10" s="13">
        <f>'[1]э.энергия'!G11</f>
        <v>533.93</v>
      </c>
      <c r="G10" s="13">
        <f>'[1]э.энергия'!G21</f>
        <v>1537.43</v>
      </c>
      <c r="H10" s="14">
        <f t="shared" si="1"/>
        <v>0.16246248676055372</v>
      </c>
      <c r="I10" s="15">
        <f>G10/E10-1</f>
        <v>-0.09838728594886226</v>
      </c>
      <c r="J10" s="23">
        <f>ROUND(('[1]э.энергия'!J21),2)</f>
        <v>2259.84</v>
      </c>
      <c r="K10" s="14">
        <f>J10/J$39</f>
        <v>0.1465581220575178</v>
      </c>
      <c r="L10" s="15">
        <f>J10/E10-1</f>
        <v>0.3252638986629135</v>
      </c>
      <c r="M10" s="17"/>
      <c r="N10" s="18">
        <f t="shared" si="0"/>
        <v>-1</v>
      </c>
      <c r="O10" s="20"/>
      <c r="P10" s="14" t="e">
        <f>O10/O$39</f>
        <v>#DIV/0!</v>
      </c>
      <c r="Q10" s="20">
        <f t="shared" si="2"/>
        <v>-1</v>
      </c>
      <c r="R10" s="21">
        <f>'[1]э.энергия (2)'!F6</f>
        <v>2129.76</v>
      </c>
      <c r="S10" s="14">
        <f>R10/R$39</f>
        <v>0.17810857156850335</v>
      </c>
      <c r="T10" s="22">
        <f>R10/E10-1</f>
        <v>0.2489795918367348</v>
      </c>
      <c r="U10" s="20" t="e">
        <f t="shared" si="3"/>
        <v>#DIV/0!</v>
      </c>
      <c r="V10" s="20">
        <f t="shared" si="4"/>
        <v>-130.07999999999993</v>
      </c>
    </row>
    <row r="11" spans="1:22" ht="12.75">
      <c r="A11" s="10" t="s">
        <v>34</v>
      </c>
      <c r="B11" s="24" t="s">
        <v>35</v>
      </c>
      <c r="C11" s="12"/>
      <c r="D11" s="12"/>
      <c r="E11" s="12"/>
      <c r="F11" s="12"/>
      <c r="G11" s="12"/>
      <c r="H11" s="14">
        <f t="shared" si="1"/>
        <v>0</v>
      </c>
      <c r="I11" s="15"/>
      <c r="J11" s="23"/>
      <c r="K11" s="14"/>
      <c r="L11" s="15"/>
      <c r="M11" s="17"/>
      <c r="N11" s="18"/>
      <c r="O11" s="20"/>
      <c r="P11" s="14"/>
      <c r="Q11" s="20"/>
      <c r="R11" s="20"/>
      <c r="S11" s="14"/>
      <c r="T11" s="22"/>
      <c r="U11" s="20"/>
      <c r="V11" s="20"/>
    </row>
    <row r="12" spans="1:22" ht="13.5" customHeight="1">
      <c r="A12" s="10" t="s">
        <v>36</v>
      </c>
      <c r="B12" s="11" t="s">
        <v>37</v>
      </c>
      <c r="C12" s="13">
        <v>589.8</v>
      </c>
      <c r="D12" s="12">
        <v>732.47</v>
      </c>
      <c r="E12" s="12">
        <v>740.2</v>
      </c>
      <c r="F12" s="13">
        <f>('[1]Т8'!H35+'[1]Т8'!I35+'[1]Т8'!J35)/1000</f>
        <v>223.94095000000002</v>
      </c>
      <c r="G12" s="13">
        <f>('[1]Т8'!H58+'[1]Т8'!I58+'[1]Т8'!J58)/1000</f>
        <v>852.38382</v>
      </c>
      <c r="H12" s="14">
        <f t="shared" si="1"/>
        <v>0.09007265050874524</v>
      </c>
      <c r="I12" s="15">
        <f>G12/E12-1</f>
        <v>0.15155879492029167</v>
      </c>
      <c r="J12" s="16">
        <f>ROUND((('[1]Т8'!H80+'[1]Т8'!I80+'[1]Т8'!J80)/1000),2)</f>
        <v>859.21</v>
      </c>
      <c r="K12" s="14">
        <f>J12/J$39</f>
        <v>0.05572261932395209</v>
      </c>
      <c r="L12" s="15">
        <f>J12/E12-1</f>
        <v>0.16078087003512564</v>
      </c>
      <c r="M12" s="17"/>
      <c r="N12" s="18">
        <f t="shared" si="0"/>
        <v>-1</v>
      </c>
      <c r="O12" s="20"/>
      <c r="P12" s="14" t="e">
        <f>O12/O$39</f>
        <v>#DIV/0!</v>
      </c>
      <c r="Q12" s="20">
        <f t="shared" si="2"/>
        <v>-1</v>
      </c>
      <c r="R12" s="20">
        <f>E12</f>
        <v>740.2</v>
      </c>
      <c r="S12" s="14">
        <f>R12/R$39</f>
        <v>0.06190179394626914</v>
      </c>
      <c r="T12" s="22">
        <f>R12/E12-1</f>
        <v>0</v>
      </c>
      <c r="U12" s="20" t="e">
        <f t="shared" si="3"/>
        <v>#DIV/0!</v>
      </c>
      <c r="V12" s="20">
        <f t="shared" si="4"/>
        <v>-119.00999999999999</v>
      </c>
    </row>
    <row r="13" spans="1:22" ht="25.5" customHeight="1">
      <c r="A13" s="10" t="s">
        <v>38</v>
      </c>
      <c r="B13" s="11" t="s">
        <v>39</v>
      </c>
      <c r="C13" s="13">
        <v>64.6</v>
      </c>
      <c r="D13" s="13">
        <v>82.53</v>
      </c>
      <c r="E13" s="12">
        <v>74.02</v>
      </c>
      <c r="F13" s="13">
        <f>'[1]Т8'!L35/1000</f>
        <v>25.28696</v>
      </c>
      <c r="G13" s="13">
        <f>('[1]Т8'!K58+'[1]Т8'!L58)/1000</f>
        <v>109.73132000000001</v>
      </c>
      <c r="H13" s="14">
        <f>G13/G$39</f>
        <v>0.011595469792262466</v>
      </c>
      <c r="I13" s="15">
        <f>G13/E13-1</f>
        <v>0.4824550121588762</v>
      </c>
      <c r="J13" s="16">
        <f>('[1]Т8'!K80+'[1]Т8'!L80)/1000</f>
        <v>120.175</v>
      </c>
      <c r="K13" s="14">
        <f>J13/J$39</f>
        <v>0.007793747485778729</v>
      </c>
      <c r="L13" s="15">
        <f>J13/E13-1</f>
        <v>0.6235476898135639</v>
      </c>
      <c r="M13" s="17"/>
      <c r="N13" s="18">
        <f>M13/E13-1</f>
        <v>-1</v>
      </c>
      <c r="O13" s="20"/>
      <c r="P13" s="14" t="e">
        <f>O13/O$39</f>
        <v>#DIV/0!</v>
      </c>
      <c r="Q13" s="20">
        <f t="shared" si="2"/>
        <v>-1</v>
      </c>
      <c r="R13" s="20">
        <f>E13</f>
        <v>74.02</v>
      </c>
      <c r="S13" s="14">
        <f>R13/R$39</f>
        <v>0.006190179394626913</v>
      </c>
      <c r="T13" s="22">
        <f>R13/E13-1</f>
        <v>0</v>
      </c>
      <c r="U13" s="20" t="e">
        <f t="shared" si="3"/>
        <v>#DIV/0!</v>
      </c>
      <c r="V13" s="20">
        <f t="shared" si="4"/>
        <v>-46.155</v>
      </c>
    </row>
    <row r="14" spans="1:22" ht="25.5">
      <c r="A14" s="10" t="s">
        <v>40</v>
      </c>
      <c r="B14" s="11" t="s">
        <v>41</v>
      </c>
      <c r="C14" s="25">
        <f>(C13+C12)*30.1%</f>
        <v>196.97439999999997</v>
      </c>
      <c r="D14" s="25">
        <v>241.49</v>
      </c>
      <c r="E14" s="26">
        <v>245</v>
      </c>
      <c r="F14" s="25">
        <v>74.6</v>
      </c>
      <c r="G14" s="25">
        <f>(G13+G12)*30.1%</f>
        <v>289.59665714</v>
      </c>
      <c r="H14" s="14">
        <f t="shared" si="1"/>
        <v>0.030602104210603318</v>
      </c>
      <c r="I14" s="15">
        <f>G14/E14-1</f>
        <v>0.18202717199999996</v>
      </c>
      <c r="J14" s="16">
        <f>ROUND(((J13+J12)*30.1%),2)</f>
        <v>294.79</v>
      </c>
      <c r="K14" s="14">
        <f>J14/J$39</f>
        <v>0.019118109601270743</v>
      </c>
      <c r="L14" s="15">
        <f>J14/E14-1</f>
        <v>0.20322448979591856</v>
      </c>
      <c r="M14" s="17"/>
      <c r="N14" s="18">
        <f t="shared" si="0"/>
        <v>-1</v>
      </c>
      <c r="O14" s="20"/>
      <c r="P14" s="14" t="e">
        <f>O14/O$39</f>
        <v>#DIV/0!</v>
      </c>
      <c r="Q14" s="20">
        <f t="shared" si="2"/>
        <v>-1</v>
      </c>
      <c r="R14" s="27">
        <f>(R12+R13)*30.1%</f>
        <v>245.08022</v>
      </c>
      <c r="S14" s="14">
        <f>R14/R$39</f>
        <v>0.02049568397560971</v>
      </c>
      <c r="T14" s="22">
        <f>R14/E14-1</f>
        <v>0.0003274285714285341</v>
      </c>
      <c r="U14" s="20" t="e">
        <f t="shared" si="3"/>
        <v>#DIV/0!</v>
      </c>
      <c r="V14" s="20">
        <f t="shared" si="4"/>
        <v>-49.70978000000002</v>
      </c>
    </row>
    <row r="15" spans="1:22" ht="27.75" customHeight="1">
      <c r="A15" s="10" t="s">
        <v>42</v>
      </c>
      <c r="B15" s="11" t="s">
        <v>43</v>
      </c>
      <c r="C15" s="25">
        <v>961.5</v>
      </c>
      <c r="D15" s="25">
        <f>'[1]Т9.2.'!C17</f>
        <v>1872.32</v>
      </c>
      <c r="E15" s="25">
        <f>E16+E18</f>
        <v>1468.37</v>
      </c>
      <c r="F15" s="25">
        <f>'[1]Т9.2.'!E17</f>
        <v>514.1</v>
      </c>
      <c r="G15" s="25">
        <f>'[1]Т9.2.'!F17</f>
        <v>2643.47</v>
      </c>
      <c r="H15" s="14">
        <f t="shared" si="1"/>
        <v>0.2793393584598459</v>
      </c>
      <c r="I15" s="15">
        <f>G15/E15-1</f>
        <v>0.8002751350136545</v>
      </c>
      <c r="J15" s="16">
        <f>ROUND(('[1]Т9.2.'!G17),2)</f>
        <v>2505.71</v>
      </c>
      <c r="K15" s="14">
        <f>J15/J$39</f>
        <v>0.16250360734421151</v>
      </c>
      <c r="L15" s="15">
        <f>J15/E15-1</f>
        <v>0.7064568194664833</v>
      </c>
      <c r="M15" s="17">
        <f>M16+M17+M18</f>
        <v>0</v>
      </c>
      <c r="N15" s="18">
        <f t="shared" si="0"/>
        <v>-1</v>
      </c>
      <c r="O15" s="20"/>
      <c r="P15" s="14" t="e">
        <f>O15/O$39</f>
        <v>#DIV/0!</v>
      </c>
      <c r="Q15" s="20">
        <f t="shared" si="2"/>
        <v>-1</v>
      </c>
      <c r="R15" s="21">
        <f>R16+R18</f>
        <v>1401.5900000000001</v>
      </c>
      <c r="S15" s="14">
        <f>R15/R$39</f>
        <v>0.11721282812368464</v>
      </c>
      <c r="T15" s="22">
        <f>R15/E15-1</f>
        <v>-0.0454790005243908</v>
      </c>
      <c r="U15" s="20" t="e">
        <f t="shared" si="3"/>
        <v>#DIV/0!</v>
      </c>
      <c r="V15" s="20">
        <f t="shared" si="4"/>
        <v>-1104.12</v>
      </c>
    </row>
    <row r="16" spans="1:22" ht="15.75" customHeight="1">
      <c r="A16" s="28" t="s">
        <v>44</v>
      </c>
      <c r="B16" s="11" t="s">
        <v>45</v>
      </c>
      <c r="C16" s="29">
        <f>457.71-168.01</f>
        <v>289.7</v>
      </c>
      <c r="D16" s="25">
        <f>'[1]Т9.2.'!C9</f>
        <v>386.47</v>
      </c>
      <c r="E16" s="25">
        <f>'[1]Т9.2.'!D9</f>
        <v>453.25</v>
      </c>
      <c r="F16" s="25">
        <f>'[1]Т9.2.'!E9</f>
        <v>101.74</v>
      </c>
      <c r="G16" s="25">
        <f>'[1]Т9.2.'!F9</f>
        <v>403.35</v>
      </c>
      <c r="H16" s="14">
        <f>G16/G$39</f>
        <v>0.042622587067293695</v>
      </c>
      <c r="I16" s="15">
        <f>G16/E16-1</f>
        <v>-0.11009376723662434</v>
      </c>
      <c r="J16" s="30">
        <f>'[1]Т9.2.'!G9</f>
        <v>403.35</v>
      </c>
      <c r="K16" s="14">
        <f>J16/J$39</f>
        <v>0.026158585798950286</v>
      </c>
      <c r="L16" s="15">
        <f>J16/E16-1</f>
        <v>-0.11009376723662434</v>
      </c>
      <c r="M16" s="17"/>
      <c r="N16" s="18">
        <f t="shared" si="0"/>
        <v>-1</v>
      </c>
      <c r="O16" s="20"/>
      <c r="P16" s="14" t="e">
        <f>O16/O$39</f>
        <v>#DIV/0!</v>
      </c>
      <c r="Q16" s="20">
        <f t="shared" si="2"/>
        <v>-1</v>
      </c>
      <c r="R16" s="21">
        <f>D16</f>
        <v>386.47</v>
      </c>
      <c r="S16" s="14">
        <f>R16/R$39</f>
        <v>0.03231989503703679</v>
      </c>
      <c r="T16" s="22">
        <f>R16/E16-1</f>
        <v>-0.1473359073359073</v>
      </c>
      <c r="U16" s="20" t="e">
        <f t="shared" si="3"/>
        <v>#DIV/0!</v>
      </c>
      <c r="V16" s="20">
        <f t="shared" si="4"/>
        <v>-16.879999999999995</v>
      </c>
    </row>
    <row r="17" spans="1:22" ht="12.75">
      <c r="A17" s="28" t="s">
        <v>46</v>
      </c>
      <c r="B17" s="31" t="s">
        <v>47</v>
      </c>
      <c r="C17" s="29"/>
      <c r="D17" s="29"/>
      <c r="E17" s="25"/>
      <c r="F17" s="29"/>
      <c r="G17" s="29"/>
      <c r="H17" s="14">
        <f t="shared" si="1"/>
        <v>0</v>
      </c>
      <c r="I17" s="15"/>
      <c r="J17" s="32"/>
      <c r="K17" s="14"/>
      <c r="L17" s="15"/>
      <c r="M17" s="17"/>
      <c r="N17" s="18"/>
      <c r="O17" s="20"/>
      <c r="P17" s="14"/>
      <c r="Q17" s="20"/>
      <c r="R17" s="20"/>
      <c r="S17" s="14"/>
      <c r="T17" s="22"/>
      <c r="U17" s="20" t="e">
        <f t="shared" si="3"/>
        <v>#DIV/0!</v>
      </c>
      <c r="V17" s="20">
        <f t="shared" si="4"/>
        <v>0</v>
      </c>
    </row>
    <row r="18" spans="1:22" ht="25.5">
      <c r="A18" s="28" t="s">
        <v>48</v>
      </c>
      <c r="B18" s="11" t="s">
        <v>49</v>
      </c>
      <c r="C18" s="29">
        <v>503.79</v>
      </c>
      <c r="D18" s="25">
        <f>D15-D16</f>
        <v>1485.85</v>
      </c>
      <c r="E18" s="25">
        <v>1015.12</v>
      </c>
      <c r="F18" s="25">
        <f>F15-F16</f>
        <v>412.36</v>
      </c>
      <c r="G18" s="25">
        <f>G15-G16</f>
        <v>2240.12</v>
      </c>
      <c r="H18" s="14">
        <f t="shared" si="1"/>
        <v>0.2367167713925522</v>
      </c>
      <c r="I18" s="15">
        <f>G18/E18-1</f>
        <v>1.2067538813145244</v>
      </c>
      <c r="J18" s="30">
        <f>J15-J16</f>
        <v>2102.36</v>
      </c>
      <c r="K18" s="14">
        <f>J18/J$39</f>
        <v>0.13634502154526124</v>
      </c>
      <c r="L18" s="15">
        <f>J18/E18-1</f>
        <v>1.0710457876901254</v>
      </c>
      <c r="M18" s="17"/>
      <c r="N18" s="18">
        <f t="shared" si="0"/>
        <v>-1</v>
      </c>
      <c r="O18" s="20"/>
      <c r="P18" s="14" t="e">
        <f>O18/O$39</f>
        <v>#DIV/0!</v>
      </c>
      <c r="Q18" s="20">
        <f t="shared" si="2"/>
        <v>-1</v>
      </c>
      <c r="R18" s="21">
        <f>'[1]Т9.2.'!H7+'[1]Т9.2.'!H8+'[1]Т9.2.'!H11+'[1]Т9.2.'!H13</f>
        <v>1015.12</v>
      </c>
      <c r="S18" s="14">
        <f>R18/R$39</f>
        <v>0.08489293308664783</v>
      </c>
      <c r="T18" s="22">
        <f>R18/E18-1</f>
        <v>0</v>
      </c>
      <c r="U18" s="20" t="e">
        <f t="shared" si="3"/>
        <v>#DIV/0!</v>
      </c>
      <c r="V18" s="20">
        <f t="shared" si="4"/>
        <v>-1087.2400000000002</v>
      </c>
    </row>
    <row r="19" spans="1:22" ht="27" customHeight="1">
      <c r="A19" s="10" t="s">
        <v>50</v>
      </c>
      <c r="B19" s="11" t="s">
        <v>51</v>
      </c>
      <c r="C19" s="29"/>
      <c r="D19" s="29"/>
      <c r="E19" s="29">
        <v>307.28</v>
      </c>
      <c r="F19" s="29"/>
      <c r="G19" s="29"/>
      <c r="H19" s="14"/>
      <c r="I19" s="15"/>
      <c r="J19" s="23"/>
      <c r="K19" s="14"/>
      <c r="L19" s="15"/>
      <c r="M19" s="17"/>
      <c r="N19" s="18">
        <f t="shared" si="0"/>
        <v>-1</v>
      </c>
      <c r="O19" s="20"/>
      <c r="P19" s="14" t="e">
        <f>O19/O$39</f>
        <v>#DIV/0!</v>
      </c>
      <c r="Q19" s="20">
        <f t="shared" si="2"/>
        <v>-1</v>
      </c>
      <c r="R19" s="20">
        <f>'[1]Т.10'!J20</f>
        <v>142.2</v>
      </c>
      <c r="S19" s="14">
        <f>R19/R$39</f>
        <v>0.011891968520885532</v>
      </c>
      <c r="T19" s="22">
        <f>R19/E19-1</f>
        <v>-0.5372298880499871</v>
      </c>
      <c r="U19" s="20" t="e">
        <f t="shared" si="3"/>
        <v>#DIV/0!</v>
      </c>
      <c r="V19" s="20">
        <f t="shared" si="4"/>
        <v>142.2</v>
      </c>
    </row>
    <row r="20" spans="1:22" ht="12.75">
      <c r="A20" s="33" t="s">
        <v>52</v>
      </c>
      <c r="B20" s="11" t="s">
        <v>53</v>
      </c>
      <c r="C20" s="29"/>
      <c r="D20" s="29"/>
      <c r="E20" s="29"/>
      <c r="F20" s="29"/>
      <c r="G20" s="29"/>
      <c r="H20" s="14"/>
      <c r="I20" s="15"/>
      <c r="J20" s="32"/>
      <c r="K20" s="14"/>
      <c r="L20" s="15"/>
      <c r="M20" s="17"/>
      <c r="N20" s="18" t="e">
        <f t="shared" si="0"/>
        <v>#DIV/0!</v>
      </c>
      <c r="O20" s="20"/>
      <c r="P20" s="14" t="e">
        <f>O20/O$39</f>
        <v>#DIV/0!</v>
      </c>
      <c r="Q20" s="20" t="e">
        <f t="shared" si="2"/>
        <v>#DIV/0!</v>
      </c>
      <c r="R20" s="20"/>
      <c r="S20" s="14"/>
      <c r="T20" s="22"/>
      <c r="U20" s="20" t="e">
        <f t="shared" si="3"/>
        <v>#DIV/0!</v>
      </c>
      <c r="V20" s="20">
        <f t="shared" si="4"/>
        <v>0</v>
      </c>
    </row>
    <row r="21" spans="1:22" ht="12.75">
      <c r="A21" s="10" t="s">
        <v>54</v>
      </c>
      <c r="B21" s="11" t="s">
        <v>55</v>
      </c>
      <c r="C21" s="29"/>
      <c r="D21" s="29"/>
      <c r="E21" s="29">
        <v>298.5</v>
      </c>
      <c r="F21" s="29"/>
      <c r="G21" s="29"/>
      <c r="H21" s="14"/>
      <c r="I21" s="15"/>
      <c r="J21" s="32"/>
      <c r="K21" s="14"/>
      <c r="L21" s="15"/>
      <c r="M21" s="17"/>
      <c r="N21" s="18">
        <f t="shared" si="0"/>
        <v>-1</v>
      </c>
      <c r="O21" s="20"/>
      <c r="P21" s="14" t="e">
        <f>O21/O$39</f>
        <v>#DIV/0!</v>
      </c>
      <c r="Q21" s="20">
        <f t="shared" si="2"/>
        <v>-1</v>
      </c>
      <c r="R21" s="20"/>
      <c r="S21" s="14"/>
      <c r="T21" s="22"/>
      <c r="U21" s="20" t="e">
        <f t="shared" si="3"/>
        <v>#DIV/0!</v>
      </c>
      <c r="V21" s="20">
        <f t="shared" si="4"/>
        <v>0</v>
      </c>
    </row>
    <row r="22" spans="1:22" ht="12.75">
      <c r="A22" s="10" t="s">
        <v>56</v>
      </c>
      <c r="B22" s="11" t="s">
        <v>57</v>
      </c>
      <c r="C22" s="29">
        <v>543.7</v>
      </c>
      <c r="D22" s="25">
        <f>'[1]Т.12'!C10</f>
        <v>899.4</v>
      </c>
      <c r="E22" s="25">
        <f>338.61</f>
        <v>338.61</v>
      </c>
      <c r="F22" s="25">
        <f>'[1]Т.12'!E10</f>
        <v>216.42</v>
      </c>
      <c r="G22" s="25">
        <f>'[1]Т.12'!F10</f>
        <v>1044.25</v>
      </c>
      <c r="H22" s="14">
        <f t="shared" si="1"/>
        <v>0.11034743162271336</v>
      </c>
      <c r="I22" s="15">
        <f>G22/E22-1</f>
        <v>2.0839313664687986</v>
      </c>
      <c r="J22" s="16">
        <f>ROUND(('[1]Т.12'!G10),2)</f>
        <v>907.9</v>
      </c>
      <c r="K22" s="14">
        <f>J22/J$39</f>
        <v>0.058880327375398445</v>
      </c>
      <c r="L22" s="15">
        <f>J22/E22-1</f>
        <v>1.6812557219219748</v>
      </c>
      <c r="M22" s="17"/>
      <c r="N22" s="18">
        <f t="shared" si="0"/>
        <v>-1</v>
      </c>
      <c r="O22" s="20"/>
      <c r="P22" s="14" t="e">
        <f>O22/O$39</f>
        <v>#DIV/0!</v>
      </c>
      <c r="Q22" s="20">
        <f t="shared" si="2"/>
        <v>-1</v>
      </c>
      <c r="R22" s="20">
        <f>'[1]Т.12'!H10</f>
        <v>308.68</v>
      </c>
      <c r="S22" s="14">
        <f>R22/R$39</f>
        <v>0.025814436308206373</v>
      </c>
      <c r="T22" s="22">
        <f>R22/E22-1</f>
        <v>-0.0883907740468386</v>
      </c>
      <c r="U22" s="20" t="e">
        <f t="shared" si="3"/>
        <v>#DIV/0!</v>
      </c>
      <c r="V22" s="20">
        <f t="shared" si="4"/>
        <v>-599.22</v>
      </c>
    </row>
    <row r="23" spans="1:22" ht="14.25" customHeight="1">
      <c r="A23" s="10" t="s">
        <v>58</v>
      </c>
      <c r="B23" s="11" t="s">
        <v>59</v>
      </c>
      <c r="C23" s="29"/>
      <c r="D23" s="29">
        <v>123.99</v>
      </c>
      <c r="E23" s="25"/>
      <c r="F23" s="25">
        <v>209.42</v>
      </c>
      <c r="G23" s="25">
        <f>'[1]Приложение к Т12 и Т13'!D13</f>
        <v>526.28</v>
      </c>
      <c r="H23" s="14">
        <f t="shared" si="1"/>
        <v>0.05561278076552702</v>
      </c>
      <c r="I23" s="15"/>
      <c r="J23" s="16">
        <f>ROUND(('[1]Приложение к Т12 и Т13'!D13),2)</f>
        <v>526.28</v>
      </c>
      <c r="K23" s="14">
        <f>J23/J$39</f>
        <v>0.03413100417570734</v>
      </c>
      <c r="L23" s="15"/>
      <c r="M23" s="17"/>
      <c r="N23" s="18"/>
      <c r="O23" s="20"/>
      <c r="P23" s="14"/>
      <c r="Q23" s="20"/>
      <c r="R23" s="20"/>
      <c r="S23" s="14"/>
      <c r="T23" s="22"/>
      <c r="U23" s="20" t="e">
        <f t="shared" si="3"/>
        <v>#DIV/0!</v>
      </c>
      <c r="V23" s="20">
        <f t="shared" si="4"/>
        <v>-526.28</v>
      </c>
    </row>
    <row r="24" spans="2:22" ht="9.75" customHeight="1">
      <c r="B24" s="11" t="s">
        <v>60</v>
      </c>
      <c r="C24" s="29"/>
      <c r="D24" s="25"/>
      <c r="E24" s="25"/>
      <c r="F24" s="25"/>
      <c r="G24" s="25"/>
      <c r="H24" s="14">
        <f t="shared" si="1"/>
        <v>0</v>
      </c>
      <c r="I24" s="15"/>
      <c r="J24" s="20"/>
      <c r="K24" s="14"/>
      <c r="L24" s="15"/>
      <c r="M24" s="17"/>
      <c r="N24" s="18"/>
      <c r="O24" s="20"/>
      <c r="P24" s="14"/>
      <c r="Q24" s="20"/>
      <c r="R24" s="20"/>
      <c r="S24" s="14"/>
      <c r="T24" s="22"/>
      <c r="U24" s="20" t="e">
        <f t="shared" si="3"/>
        <v>#DIV/0!</v>
      </c>
      <c r="V24" s="20">
        <f t="shared" si="4"/>
        <v>0</v>
      </c>
    </row>
    <row r="25" spans="1:22" ht="16.5" customHeight="1" hidden="1">
      <c r="A25" s="10" t="s">
        <v>61</v>
      </c>
      <c r="B25" s="11" t="s">
        <v>62</v>
      </c>
      <c r="C25" s="29"/>
      <c r="D25" s="29"/>
      <c r="E25" s="25"/>
      <c r="F25" s="25"/>
      <c r="G25" s="25"/>
      <c r="H25" s="14">
        <f t="shared" si="1"/>
        <v>0</v>
      </c>
      <c r="I25" s="15"/>
      <c r="J25" s="20"/>
      <c r="K25" s="14"/>
      <c r="L25" s="15"/>
      <c r="M25" s="17"/>
      <c r="N25" s="18"/>
      <c r="O25" s="20"/>
      <c r="P25" s="14"/>
      <c r="Q25" s="20"/>
      <c r="R25" s="20"/>
      <c r="S25" s="14"/>
      <c r="T25" s="22"/>
      <c r="U25" s="20" t="e">
        <f t="shared" si="3"/>
        <v>#DIV/0!</v>
      </c>
      <c r="V25" s="20">
        <f t="shared" si="4"/>
        <v>0</v>
      </c>
    </row>
    <row r="26" spans="1:22" ht="24.75" customHeight="1" hidden="1">
      <c r="A26" s="28" t="s">
        <v>63</v>
      </c>
      <c r="B26" s="11" t="s">
        <v>64</v>
      </c>
      <c r="C26" s="12"/>
      <c r="D26" s="34">
        <f>D25/(D12+D13)</f>
        <v>0</v>
      </c>
      <c r="E26" s="34">
        <f>E25/(E12+E13)</f>
        <v>0</v>
      </c>
      <c r="F26" s="34">
        <f>F25/(F12+F13)</f>
        <v>0</v>
      </c>
      <c r="G26" s="34">
        <f>G25/(G12+G13)</f>
        <v>0</v>
      </c>
      <c r="H26" s="14">
        <f t="shared" si="1"/>
        <v>0</v>
      </c>
      <c r="I26" s="15"/>
      <c r="J26" s="20"/>
      <c r="K26" s="14"/>
      <c r="L26" s="15"/>
      <c r="M26" s="17"/>
      <c r="N26" s="18"/>
      <c r="O26" s="20"/>
      <c r="P26" s="14"/>
      <c r="Q26" s="20"/>
      <c r="R26" s="20"/>
      <c r="S26" s="14"/>
      <c r="T26" s="22"/>
      <c r="U26" s="20" t="e">
        <f t="shared" si="3"/>
        <v>#DIV/0!</v>
      </c>
      <c r="V26" s="20">
        <f t="shared" si="4"/>
        <v>0</v>
      </c>
    </row>
    <row r="27" spans="1:22" ht="26.25" customHeight="1" hidden="1">
      <c r="A27" s="28" t="s">
        <v>65</v>
      </c>
      <c r="B27" s="11" t="s">
        <v>66</v>
      </c>
      <c r="C27" s="12"/>
      <c r="D27" s="12"/>
      <c r="E27" s="12"/>
      <c r="F27" s="12"/>
      <c r="G27" s="12"/>
      <c r="H27" s="14">
        <f t="shared" si="1"/>
        <v>0</v>
      </c>
      <c r="I27" s="15"/>
      <c r="J27" s="20"/>
      <c r="K27" s="14"/>
      <c r="L27" s="15"/>
      <c r="M27" s="17"/>
      <c r="N27" s="18"/>
      <c r="O27" s="20"/>
      <c r="P27" s="14"/>
      <c r="Q27" s="20"/>
      <c r="R27" s="20"/>
      <c r="S27" s="14"/>
      <c r="T27" s="22"/>
      <c r="U27" s="20" t="e">
        <f t="shared" si="3"/>
        <v>#DIV/0!</v>
      </c>
      <c r="V27" s="20">
        <f t="shared" si="4"/>
        <v>0</v>
      </c>
    </row>
    <row r="28" spans="1:22" ht="26.25" customHeight="1" hidden="1">
      <c r="A28" s="28" t="s">
        <v>67</v>
      </c>
      <c r="B28" s="24" t="s">
        <v>68</v>
      </c>
      <c r="C28" s="12"/>
      <c r="D28" s="12"/>
      <c r="E28" s="12"/>
      <c r="F28" s="12"/>
      <c r="G28" s="12"/>
      <c r="H28" s="14">
        <f t="shared" si="1"/>
        <v>0</v>
      </c>
      <c r="I28" s="15"/>
      <c r="J28" s="20"/>
      <c r="K28" s="14"/>
      <c r="L28" s="15"/>
      <c r="M28" s="17"/>
      <c r="N28" s="18"/>
      <c r="O28" s="20"/>
      <c r="P28" s="14"/>
      <c r="Q28" s="20"/>
      <c r="R28" s="20"/>
      <c r="S28" s="14"/>
      <c r="T28" s="22"/>
      <c r="U28" s="20" t="e">
        <f t="shared" si="3"/>
        <v>#DIV/0!</v>
      </c>
      <c r="V28" s="20">
        <f t="shared" si="4"/>
        <v>0</v>
      </c>
    </row>
    <row r="29" spans="1:22" ht="12.75" hidden="1">
      <c r="A29" s="10"/>
      <c r="B29" s="24" t="s">
        <v>69</v>
      </c>
      <c r="C29" s="12"/>
      <c r="D29" s="12"/>
      <c r="E29" s="12"/>
      <c r="F29" s="12"/>
      <c r="G29" s="12"/>
      <c r="H29" s="14">
        <f t="shared" si="1"/>
        <v>0</v>
      </c>
      <c r="I29" s="15"/>
      <c r="J29" s="20"/>
      <c r="K29" s="14"/>
      <c r="L29" s="15"/>
      <c r="M29" s="35"/>
      <c r="N29" s="18"/>
      <c r="O29" s="20"/>
      <c r="P29" s="14"/>
      <c r="Q29" s="20"/>
      <c r="R29" s="20"/>
      <c r="S29" s="14"/>
      <c r="T29" s="22"/>
      <c r="U29" s="20" t="e">
        <f t="shared" si="3"/>
        <v>#DIV/0!</v>
      </c>
      <c r="V29" s="20">
        <f t="shared" si="4"/>
        <v>0</v>
      </c>
    </row>
    <row r="30" spans="1:22" ht="25.5" hidden="1">
      <c r="A30" s="28" t="s">
        <v>70</v>
      </c>
      <c r="B30" s="24" t="s">
        <v>71</v>
      </c>
      <c r="C30" s="12"/>
      <c r="D30" s="12"/>
      <c r="E30" s="12"/>
      <c r="F30" s="12"/>
      <c r="G30" s="12"/>
      <c r="H30" s="14">
        <f>G30/G$39</f>
        <v>0</v>
      </c>
      <c r="I30" s="15"/>
      <c r="J30" s="20"/>
      <c r="K30" s="14"/>
      <c r="L30" s="15"/>
      <c r="M30" s="35"/>
      <c r="N30" s="18"/>
      <c r="O30" s="20"/>
      <c r="P30" s="14"/>
      <c r="Q30" s="20"/>
      <c r="R30" s="20"/>
      <c r="S30" s="14"/>
      <c r="T30" s="22"/>
      <c r="U30" s="20" t="e">
        <f t="shared" si="3"/>
        <v>#DIV/0!</v>
      </c>
      <c r="V30" s="20">
        <f t="shared" si="4"/>
        <v>0</v>
      </c>
    </row>
    <row r="31" spans="1:22" ht="12.75" hidden="1">
      <c r="A31" s="28" t="s">
        <v>72</v>
      </c>
      <c r="B31" s="24" t="s">
        <v>73</v>
      </c>
      <c r="C31" s="12"/>
      <c r="D31" s="12"/>
      <c r="E31" s="12"/>
      <c r="F31" s="12"/>
      <c r="G31" s="12"/>
      <c r="H31" s="14">
        <f t="shared" si="1"/>
        <v>0</v>
      </c>
      <c r="I31" s="15"/>
      <c r="J31" s="20"/>
      <c r="K31" s="14"/>
      <c r="L31" s="15"/>
      <c r="M31" s="35"/>
      <c r="N31" s="18"/>
      <c r="O31" s="20"/>
      <c r="P31" s="14"/>
      <c r="Q31" s="20"/>
      <c r="R31" s="20"/>
      <c r="S31" s="14"/>
      <c r="T31" s="22"/>
      <c r="U31" s="20" t="e">
        <f t="shared" si="3"/>
        <v>#DIV/0!</v>
      </c>
      <c r="V31" s="20">
        <f t="shared" si="4"/>
        <v>0</v>
      </c>
    </row>
    <row r="32" spans="1:22" ht="24.75" customHeight="1">
      <c r="A32" s="10">
        <v>12</v>
      </c>
      <c r="B32" s="24" t="s">
        <v>74</v>
      </c>
      <c r="C32" s="13"/>
      <c r="D32" s="13"/>
      <c r="E32" s="13"/>
      <c r="F32" s="13"/>
      <c r="G32" s="13"/>
      <c r="H32" s="14">
        <f t="shared" si="1"/>
        <v>0</v>
      </c>
      <c r="I32" s="15"/>
      <c r="J32" s="20"/>
      <c r="K32" s="14"/>
      <c r="L32" s="15"/>
      <c r="M32" s="35"/>
      <c r="N32" s="18"/>
      <c r="O32" s="20"/>
      <c r="P32" s="14"/>
      <c r="Q32" s="20"/>
      <c r="R32" s="20"/>
      <c r="S32" s="14"/>
      <c r="T32" s="22"/>
      <c r="U32" s="20" t="e">
        <f t="shared" si="3"/>
        <v>#DIV/0!</v>
      </c>
      <c r="V32" s="20">
        <f t="shared" si="4"/>
        <v>0</v>
      </c>
    </row>
    <row r="33" spans="1:22" ht="24.75" customHeight="1">
      <c r="A33" s="10" t="s">
        <v>75</v>
      </c>
      <c r="B33" s="24" t="s">
        <v>76</v>
      </c>
      <c r="C33" s="13"/>
      <c r="D33" s="13"/>
      <c r="E33" s="13"/>
      <c r="F33" s="13"/>
      <c r="G33" s="13"/>
      <c r="H33" s="14">
        <f t="shared" si="1"/>
        <v>0</v>
      </c>
      <c r="I33" s="15"/>
      <c r="J33" s="21"/>
      <c r="K33" s="14"/>
      <c r="L33" s="15"/>
      <c r="M33" s="35"/>
      <c r="N33" s="18"/>
      <c r="O33" s="20"/>
      <c r="P33" s="14"/>
      <c r="Q33" s="20"/>
      <c r="R33" s="20"/>
      <c r="S33" s="14"/>
      <c r="T33" s="22"/>
      <c r="U33" s="20" t="e">
        <f t="shared" si="3"/>
        <v>#DIV/0!</v>
      </c>
      <c r="V33" s="20">
        <f t="shared" si="4"/>
        <v>0</v>
      </c>
    </row>
    <row r="34" spans="1:22" ht="12.75">
      <c r="A34" s="10" t="s">
        <v>77</v>
      </c>
      <c r="B34" s="36" t="s">
        <v>78</v>
      </c>
      <c r="C34" s="25">
        <f>C8+C9+C10+C12+C13+C14+C15+C22+C23+0.03</f>
        <v>8424.404400000001</v>
      </c>
      <c r="D34" s="25">
        <f>D8+D9+D10+D12+D13+D14+D15+D22+D23+0.03</f>
        <v>8653.75</v>
      </c>
      <c r="E34" s="25">
        <f>E8+E9+E10+E12+E13+E14+E15+E19+E22</f>
        <v>10890.87</v>
      </c>
      <c r="F34" s="25">
        <f>F8+F9+F10+F12+F13+F14+F15+F22+F23+0.03</f>
        <v>3939.16791</v>
      </c>
      <c r="G34" s="25">
        <f>G8+G9+G10+G12+G13+G14+G15+G22+G23+0.03</f>
        <v>12281.441797140002</v>
      </c>
      <c r="H34" s="14">
        <f>G34/G$39</f>
        <v>1.2977979975467946</v>
      </c>
      <c r="I34" s="15">
        <f>G34/E34-1</f>
        <v>0.12768234283762459</v>
      </c>
      <c r="J34" s="16">
        <f>J8+J9+J10+J12+J13+J14+J15+J22+J23</f>
        <v>14410.665</v>
      </c>
      <c r="K34" s="14">
        <f>J34/J$39</f>
        <v>0.9345794392523364</v>
      </c>
      <c r="L34" s="37">
        <f>J34/E34-1</f>
        <v>0.32318767922121916</v>
      </c>
      <c r="M34" s="38">
        <f>M8+M9+M10+M11+M12+M13+M14+M15+M19+M22+M23</f>
        <v>0</v>
      </c>
      <c r="N34" s="18">
        <f t="shared" si="0"/>
        <v>-1</v>
      </c>
      <c r="O34" s="20"/>
      <c r="P34" s="14" t="e">
        <f>O34/O$39</f>
        <v>#DIV/0!</v>
      </c>
      <c r="Q34" s="20">
        <f t="shared" si="2"/>
        <v>-1</v>
      </c>
      <c r="R34" s="21">
        <f>R8+R9+R10+R11+R12+R13+R14+R15+R19+R22+R23+R32-R33</f>
        <v>11957.650220000003</v>
      </c>
      <c r="S34" s="14">
        <f>R34/R$39</f>
        <v>1</v>
      </c>
      <c r="T34" s="22">
        <f>R34/E34-1</f>
        <v>0.09795179081193717</v>
      </c>
      <c r="U34" s="20" t="e">
        <f t="shared" si="3"/>
        <v>#DIV/0!</v>
      </c>
      <c r="V34" s="20">
        <f t="shared" si="4"/>
        <v>-2453.0147799999977</v>
      </c>
    </row>
    <row r="35" spans="1:22" ht="12.75">
      <c r="A35" s="10" t="s">
        <v>79</v>
      </c>
      <c r="B35" s="24" t="s">
        <v>80</v>
      </c>
      <c r="C35" s="39">
        <f>'[1]Т 2'!C69</f>
        <v>15.83</v>
      </c>
      <c r="D35" s="39">
        <f>'[1]Т 2'!D69</f>
        <v>12.149</v>
      </c>
      <c r="E35" s="39">
        <f>'[1]Т 2'!F69</f>
        <v>16.647</v>
      </c>
      <c r="F35" s="39">
        <f>'[1]Т 2'!G69</f>
        <v>6.389</v>
      </c>
      <c r="G35" s="39">
        <f>'[1]Т 2'!H69</f>
        <v>14.465</v>
      </c>
      <c r="H35" s="14"/>
      <c r="I35" s="15">
        <f>G35/E35-1</f>
        <v>-0.13107466810836776</v>
      </c>
      <c r="J35" s="20">
        <f>'[1]Т 2'!I69</f>
        <v>14.493</v>
      </c>
      <c r="K35" s="14"/>
      <c r="L35" s="37">
        <f>J35/E35-1</f>
        <v>-0.12939268336637222</v>
      </c>
      <c r="M35" s="40"/>
      <c r="N35" s="18">
        <f t="shared" si="0"/>
        <v>-1</v>
      </c>
      <c r="O35" s="20"/>
      <c r="P35" s="14"/>
      <c r="Q35" s="20">
        <f t="shared" si="2"/>
        <v>-1</v>
      </c>
      <c r="R35" s="41">
        <f>'[1]Т 2'!J69</f>
        <v>15.489</v>
      </c>
      <c r="S35" s="14"/>
      <c r="T35" s="22">
        <f>R35/E35-1</f>
        <v>-0.06956208325824464</v>
      </c>
      <c r="U35" s="20" t="e">
        <f t="shared" si="3"/>
        <v>#DIV/0!</v>
      </c>
      <c r="V35" s="20">
        <f t="shared" si="4"/>
        <v>0.9960000000000004</v>
      </c>
    </row>
    <row r="36" spans="1:22" ht="12.75">
      <c r="A36" s="10" t="s">
        <v>81</v>
      </c>
      <c r="B36" s="24" t="s">
        <v>82</v>
      </c>
      <c r="C36" s="25">
        <f>C34/C35</f>
        <v>532.1796841440304</v>
      </c>
      <c r="D36" s="25">
        <f>D34/D35</f>
        <v>712.3014239855132</v>
      </c>
      <c r="E36" s="25">
        <f>E34/E35</f>
        <v>654.2241845377547</v>
      </c>
      <c r="F36" s="25">
        <f>F34/F35</f>
        <v>616.5546893097511</v>
      </c>
      <c r="G36" s="25">
        <f>G34/G35</f>
        <v>849.0454059550641</v>
      </c>
      <c r="H36" s="14"/>
      <c r="I36" s="15">
        <f>G36/E36-1</f>
        <v>0.29778969659301313</v>
      </c>
      <c r="J36" s="30">
        <f>J34/J35</f>
        <v>994.3189815773133</v>
      </c>
      <c r="K36" s="14"/>
      <c r="L36" s="37">
        <f>J36/E36-1</f>
        <v>0.5198444280684216</v>
      </c>
      <c r="M36" s="42" t="e">
        <f>M34/M35</f>
        <v>#DIV/0!</v>
      </c>
      <c r="N36" s="18" t="e">
        <f t="shared" si="0"/>
        <v>#DIV/0!</v>
      </c>
      <c r="O36" s="20"/>
      <c r="P36" s="14"/>
      <c r="Q36" s="20">
        <f>O36/E36-1</f>
        <v>-1</v>
      </c>
      <c r="R36" s="21">
        <f>R34/R35</f>
        <v>772.0091820001293</v>
      </c>
      <c r="S36" s="14"/>
      <c r="T36" s="22">
        <f>R36/E36-1</f>
        <v>0.18003766941999566</v>
      </c>
      <c r="U36" s="20" t="e">
        <f>R36/O36-1</f>
        <v>#DIV/0!</v>
      </c>
      <c r="V36" s="21">
        <f>R36-J36</f>
        <v>-222.30979957718398</v>
      </c>
    </row>
    <row r="37" spans="1:22" ht="12.75">
      <c r="A37" s="10" t="s">
        <v>83</v>
      </c>
      <c r="B37" s="24" t="s">
        <v>84</v>
      </c>
      <c r="C37" s="29">
        <v>337</v>
      </c>
      <c r="D37" s="26">
        <f>D39-D34</f>
        <v>-1929.6429699999999</v>
      </c>
      <c r="E37" s="43"/>
      <c r="F37" s="43">
        <f>F39-F34</f>
        <v>240.64367000000038</v>
      </c>
      <c r="G37" s="26">
        <f>G39-G34</f>
        <v>-2818.1494971400007</v>
      </c>
      <c r="H37" s="14">
        <f>G37/G$39</f>
        <v>-0.2977979975467946</v>
      </c>
      <c r="I37" s="15"/>
      <c r="J37" s="25">
        <f>J34*J38</f>
        <v>1008.7465500000002</v>
      </c>
      <c r="K37" s="14">
        <f>J37/J$39</f>
        <v>0.06542056074766356</v>
      </c>
      <c r="L37" s="37"/>
      <c r="M37" s="44"/>
      <c r="N37" s="18"/>
      <c r="O37" s="20"/>
      <c r="P37" s="14"/>
      <c r="Q37" s="20"/>
      <c r="R37" s="21"/>
      <c r="S37" s="14"/>
      <c r="T37" s="22"/>
      <c r="U37" s="20" t="e">
        <f t="shared" si="3"/>
        <v>#DIV/0!</v>
      </c>
      <c r="V37" s="20">
        <f t="shared" si="4"/>
        <v>-1008.7465500000002</v>
      </c>
    </row>
    <row r="38" spans="1:22" ht="12.75">
      <c r="A38" s="10" t="s">
        <v>85</v>
      </c>
      <c r="B38" s="24" t="s">
        <v>86</v>
      </c>
      <c r="C38" s="45">
        <f>C37/C34</f>
        <v>0.04000282797440255</v>
      </c>
      <c r="D38" s="45">
        <f>D37/D34</f>
        <v>-0.22298344301603348</v>
      </c>
      <c r="E38" s="46"/>
      <c r="F38" s="46">
        <f>F37/F34</f>
        <v>0.06108997521763432</v>
      </c>
      <c r="G38" s="45">
        <f>G37/G34</f>
        <v>-0.2294640599767584</v>
      </c>
      <c r="H38" s="14"/>
      <c r="I38" s="15"/>
      <c r="J38" s="47">
        <v>0.07</v>
      </c>
      <c r="K38" s="14"/>
      <c r="L38" s="37"/>
      <c r="M38" s="48"/>
      <c r="N38" s="18"/>
      <c r="O38" s="20"/>
      <c r="P38" s="14"/>
      <c r="Q38" s="20"/>
      <c r="R38" s="22"/>
      <c r="S38" s="14"/>
      <c r="T38" s="22"/>
      <c r="U38" s="20"/>
      <c r="V38" s="20"/>
    </row>
    <row r="39" spans="1:22" ht="12.75">
      <c r="A39" s="10" t="s">
        <v>87</v>
      </c>
      <c r="B39" s="36" t="s">
        <v>88</v>
      </c>
      <c r="C39" s="25">
        <f>C34+C37</f>
        <v>8761.404400000001</v>
      </c>
      <c r="D39" s="25">
        <f>D40*D35</f>
        <v>6724.10703</v>
      </c>
      <c r="E39" s="25">
        <f>E34+E37</f>
        <v>10890.87</v>
      </c>
      <c r="F39" s="25">
        <f>F40*F35</f>
        <v>4179.8115800000005</v>
      </c>
      <c r="G39" s="25">
        <f>G40*G35</f>
        <v>9463.292300000001</v>
      </c>
      <c r="H39" s="14">
        <f>G39/G$39</f>
        <v>1</v>
      </c>
      <c r="I39" s="15">
        <f>G39/E39-1</f>
        <v>-0.13108022591399948</v>
      </c>
      <c r="J39" s="30">
        <f>J34+J37</f>
        <v>15419.41155</v>
      </c>
      <c r="K39" s="14">
        <f>J39/J$39</f>
        <v>1</v>
      </c>
      <c r="L39" s="37">
        <f>J39/E39-1</f>
        <v>0.4158108167667045</v>
      </c>
      <c r="M39" s="49"/>
      <c r="N39" s="18">
        <f>M39/E39-1</f>
        <v>-1</v>
      </c>
      <c r="O39" s="20"/>
      <c r="P39" s="14" t="e">
        <f>O39/O$39</f>
        <v>#DIV/0!</v>
      </c>
      <c r="Q39" s="20">
        <f t="shared" si="2"/>
        <v>-1</v>
      </c>
      <c r="R39" s="21">
        <f>R34</f>
        <v>11957.650220000003</v>
      </c>
      <c r="S39" s="14">
        <f>R39/R$39</f>
        <v>1</v>
      </c>
      <c r="T39" s="22">
        <f>R39/E39-1</f>
        <v>0.09795179081193717</v>
      </c>
      <c r="U39" s="20" t="e">
        <f t="shared" si="3"/>
        <v>#DIV/0!</v>
      </c>
      <c r="V39" s="20">
        <f t="shared" si="4"/>
        <v>-3461.7613299999975</v>
      </c>
    </row>
    <row r="40" spans="1:22" ht="18.75" customHeight="1">
      <c r="A40" s="10" t="s">
        <v>89</v>
      </c>
      <c r="B40" s="24" t="s">
        <v>90</v>
      </c>
      <c r="C40" s="25">
        <f>C39/C35</f>
        <v>553.4683765003159</v>
      </c>
      <c r="D40" s="25">
        <f>553.47</f>
        <v>553.47</v>
      </c>
      <c r="E40" s="25">
        <f>E39/E35</f>
        <v>654.2241845377547</v>
      </c>
      <c r="F40" s="12">
        <v>654.22</v>
      </c>
      <c r="G40" s="12">
        <v>654.22</v>
      </c>
      <c r="H40" s="14"/>
      <c r="I40" s="15">
        <f>G40/E40-1</f>
        <v>-6.396183225176877E-06</v>
      </c>
      <c r="J40" s="30">
        <f>J39/J35</f>
        <v>1063.9213102877252</v>
      </c>
      <c r="K40" s="14"/>
      <c r="L40" s="37">
        <f>J40/E40-1</f>
        <v>0.6262335380332111</v>
      </c>
      <c r="M40" s="50"/>
      <c r="N40" s="18">
        <f>M40/E40-1</f>
        <v>-1</v>
      </c>
      <c r="O40" s="20"/>
      <c r="P40" s="14"/>
      <c r="Q40" s="20">
        <f t="shared" si="2"/>
        <v>-1</v>
      </c>
      <c r="R40" s="51">
        <f>R39/R35</f>
        <v>772.0091820001293</v>
      </c>
      <c r="S40" s="14"/>
      <c r="T40" s="52">
        <f>R40/E40-1</f>
        <v>0.18003766941999566</v>
      </c>
      <c r="U40" s="20" t="e">
        <f>R40/O40-1</f>
        <v>#DIV/0!</v>
      </c>
      <c r="V40" s="20">
        <f t="shared" si="4"/>
        <v>-291.9121282875959</v>
      </c>
    </row>
    <row r="41" spans="1:22" ht="12.75">
      <c r="A41" s="53" t="s">
        <v>91</v>
      </c>
      <c r="B41" s="54" t="s">
        <v>92</v>
      </c>
      <c r="C41" s="12"/>
      <c r="D41" s="12"/>
      <c r="E41" s="12">
        <v>319.74</v>
      </c>
      <c r="F41" s="12"/>
      <c r="G41" s="12"/>
      <c r="H41" s="20"/>
      <c r="I41" s="20"/>
      <c r="J41" s="55">
        <v>556.19</v>
      </c>
      <c r="K41" s="20"/>
      <c r="L41" s="20"/>
      <c r="M41" s="20"/>
      <c r="N41" s="20"/>
      <c r="O41" s="20"/>
      <c r="P41" s="20"/>
      <c r="Q41" s="20"/>
      <c r="R41" s="21">
        <f>(R39-R8)/R35</f>
        <v>351.02784040286673</v>
      </c>
      <c r="S41" s="20"/>
      <c r="T41" s="22"/>
      <c r="U41" s="20"/>
      <c r="V41" s="20"/>
    </row>
    <row r="42" spans="1:22" ht="12.75">
      <c r="A42" s="53" t="s">
        <v>93</v>
      </c>
      <c r="B42" s="56" t="s">
        <v>94</v>
      </c>
      <c r="C42" s="12"/>
      <c r="D42" s="13">
        <f>'[1]Т.8.2.'!D20</f>
        <v>7546.39</v>
      </c>
      <c r="E42" s="13">
        <f>E39</f>
        <v>10890.87</v>
      </c>
      <c r="F42" s="13"/>
      <c r="G42" s="13">
        <f>'[1]Т.8.2.'!G20</f>
        <v>8908.52</v>
      </c>
      <c r="H42" s="20"/>
      <c r="I42" s="20"/>
      <c r="J42" s="57">
        <f>J39</f>
        <v>15419.41155</v>
      </c>
      <c r="K42" s="20"/>
      <c r="L42" s="20"/>
      <c r="M42" s="20"/>
      <c r="N42" s="20"/>
      <c r="O42" s="20"/>
      <c r="P42" s="20"/>
      <c r="Q42" s="20"/>
      <c r="R42" s="20">
        <f>R40*R35</f>
        <v>11957.650220000003</v>
      </c>
      <c r="S42" s="20"/>
      <c r="T42" s="22"/>
      <c r="U42" s="20"/>
      <c r="V42" s="20"/>
    </row>
    <row r="43" spans="1:22" ht="12.75">
      <c r="A43" s="58"/>
      <c r="B43" s="56" t="s">
        <v>95</v>
      </c>
      <c r="C43" s="12"/>
      <c r="D43" s="13"/>
      <c r="E43" s="13">
        <f>(E12+E13)/9*1000/12</f>
        <v>7539.074074074076</v>
      </c>
      <c r="F43" s="13"/>
      <c r="G43" s="13"/>
      <c r="H43" s="20"/>
      <c r="I43" s="20"/>
      <c r="J43" s="57">
        <f>'[1]Т.8.2.'!H20</f>
        <v>9068.43</v>
      </c>
      <c r="K43" s="20"/>
      <c r="L43" s="20"/>
      <c r="M43" s="20"/>
      <c r="N43" s="20"/>
      <c r="O43" s="20"/>
      <c r="P43" s="20"/>
      <c r="Q43" s="20"/>
      <c r="R43" s="20">
        <f>'[1]Т.8.2.'!I20</f>
        <v>7539.07407407407</v>
      </c>
      <c r="S43" s="20"/>
      <c r="T43" s="20"/>
      <c r="U43" s="20"/>
      <c r="V43" s="20"/>
    </row>
    <row r="44" spans="1:22" ht="4.5" customHeight="1">
      <c r="A44" s="58"/>
      <c r="B44" s="59"/>
      <c r="C44" s="60"/>
      <c r="D44" s="61"/>
      <c r="E44" s="61"/>
      <c r="F44" s="61"/>
      <c r="G44" s="61"/>
      <c r="H44" s="62"/>
      <c r="I44" s="62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 hidden="1">
      <c r="A45" s="58"/>
      <c r="B45" s="59"/>
      <c r="C45" s="60"/>
      <c r="D45" s="61"/>
      <c r="E45" s="61"/>
      <c r="F45" s="61"/>
      <c r="G45" s="61"/>
      <c r="H45" s="62"/>
      <c r="I45" s="62"/>
      <c r="J45" s="61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10" ht="12.75">
      <c r="A46" s="63"/>
      <c r="B46" s="64"/>
      <c r="C46" s="60"/>
      <c r="D46" s="60"/>
      <c r="E46" s="60"/>
      <c r="F46" s="65"/>
      <c r="G46" s="60"/>
      <c r="H46" s="62"/>
      <c r="I46" s="62"/>
      <c r="J46" s="62"/>
    </row>
    <row r="47" spans="1:2" ht="12.75">
      <c r="A47" s="66"/>
      <c r="B47" s="67"/>
    </row>
    <row r="48" spans="1:18" ht="12.75">
      <c r="A48" s="66"/>
      <c r="B48" s="67"/>
      <c r="R48" s="68"/>
    </row>
    <row r="49" spans="1:2" ht="12.75">
      <c r="A49" s="66"/>
      <c r="B49" s="67"/>
    </row>
    <row r="50" spans="1:18" ht="12.75">
      <c r="A50" s="66"/>
      <c r="B50" s="67"/>
      <c r="R50" s="68"/>
    </row>
    <row r="51" spans="1:2" ht="12.75">
      <c r="A51" s="66"/>
      <c r="B51" s="67"/>
    </row>
    <row r="52" ht="12.75">
      <c r="B52" s="67"/>
    </row>
    <row r="53" ht="12.75">
      <c r="B53" s="67"/>
    </row>
    <row r="54" ht="12.75">
      <c r="B54" s="67"/>
    </row>
    <row r="55" ht="12.75">
      <c r="B55" s="67"/>
    </row>
    <row r="56" ht="12.75">
      <c r="B56" s="67"/>
    </row>
    <row r="57" ht="12.75">
      <c r="B57" s="67"/>
    </row>
    <row r="58" ht="12.75">
      <c r="B58" s="67"/>
    </row>
    <row r="59" ht="12.75">
      <c r="B59" s="67"/>
    </row>
    <row r="60" ht="12.75">
      <c r="B60" s="67"/>
    </row>
    <row r="61" ht="12.75">
      <c r="B61" s="67"/>
    </row>
    <row r="62" ht="12.75">
      <c r="B62" s="67"/>
    </row>
    <row r="63" ht="12.75">
      <c r="B63" s="67"/>
    </row>
    <row r="64" ht="12.75">
      <c r="B64" s="67"/>
    </row>
    <row r="65" ht="12.75">
      <c r="B65" s="67"/>
    </row>
    <row r="66" ht="12.75">
      <c r="B66" s="67"/>
    </row>
    <row r="67" ht="12.75">
      <c r="B67" s="67"/>
    </row>
    <row r="68" ht="12.75">
      <c r="B68" s="67"/>
    </row>
    <row r="69" ht="12.75">
      <c r="B69" s="67"/>
    </row>
    <row r="70" ht="12.75">
      <c r="B70" s="67"/>
    </row>
    <row r="71" ht="12.75">
      <c r="B71" s="67"/>
    </row>
    <row r="72" ht="12.75">
      <c r="B72" s="69"/>
    </row>
    <row r="73" ht="12.75">
      <c r="B73" s="69"/>
    </row>
    <row r="74" ht="12.75">
      <c r="B74" s="69"/>
    </row>
    <row r="75" ht="12.75">
      <c r="B75" s="69"/>
    </row>
    <row r="76" ht="12.75">
      <c r="B76" s="69"/>
    </row>
    <row r="77" ht="12.75">
      <c r="B77" s="69"/>
    </row>
    <row r="78" ht="12.75">
      <c r="B78" s="69"/>
    </row>
    <row r="79" ht="12.75">
      <c r="B79" s="69"/>
    </row>
    <row r="80" ht="12.75">
      <c r="B80" s="69"/>
    </row>
    <row r="81" ht="12.75">
      <c r="B81" s="69"/>
    </row>
  </sheetData>
  <mergeCells count="24">
    <mergeCell ref="C1:L1"/>
    <mergeCell ref="B2:L2"/>
    <mergeCell ref="A5:A7"/>
    <mergeCell ref="B5:B7"/>
    <mergeCell ref="C5:J5"/>
    <mergeCell ref="M5:N5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V6:V7"/>
    <mergeCell ref="R6:R7"/>
    <mergeCell ref="S6:S7"/>
    <mergeCell ref="T6:T7"/>
    <mergeCell ref="U6:U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4"/>
  <sheetViews>
    <sheetView tabSelected="1" workbookViewId="0" topLeftCell="A26">
      <selection activeCell="E1" sqref="E1:F16384"/>
    </sheetView>
  </sheetViews>
  <sheetFormatPr defaultColWidth="9.33203125" defaultRowHeight="12.75"/>
  <cols>
    <col min="1" max="1" width="4.16015625" style="70" customWidth="1"/>
    <col min="2" max="2" width="42" style="70" customWidth="1"/>
    <col min="3" max="3" width="27.83203125" style="70" customWidth="1"/>
    <col min="4" max="16384" width="9.33203125" style="70" customWidth="1"/>
  </cols>
  <sheetData>
    <row r="2" spans="1:2" ht="15" customHeight="1">
      <c r="A2" s="123" t="s">
        <v>96</v>
      </c>
      <c r="B2" s="123"/>
    </row>
    <row r="3" ht="12.75" customHeight="1" thickBot="1"/>
    <row r="4" spans="1:3" ht="33.75" customHeight="1">
      <c r="A4" s="124" t="s">
        <v>97</v>
      </c>
      <c r="B4" s="126"/>
      <c r="C4" s="129" t="s">
        <v>98</v>
      </c>
    </row>
    <row r="5" spans="1:3" ht="39" customHeight="1" thickBot="1">
      <c r="A5" s="125"/>
      <c r="B5" s="127"/>
      <c r="C5" s="128"/>
    </row>
    <row r="6" spans="1:3" ht="13.5" customHeight="1">
      <c r="A6" s="71" t="s">
        <v>28</v>
      </c>
      <c r="B6" s="72" t="s">
        <v>99</v>
      </c>
      <c r="C6" s="73">
        <f>15.83</f>
        <v>15.83</v>
      </c>
    </row>
    <row r="7" spans="1:3" ht="12.75" hidden="1">
      <c r="A7" s="74"/>
      <c r="B7" s="75" t="s">
        <v>100</v>
      </c>
      <c r="C7" s="76"/>
    </row>
    <row r="8" spans="1:3" ht="10.5" customHeight="1">
      <c r="A8" s="74"/>
      <c r="B8" s="75" t="s">
        <v>101</v>
      </c>
      <c r="C8" s="76"/>
    </row>
    <row r="9" spans="1:3" ht="12.75">
      <c r="A9" s="74"/>
      <c r="B9" s="75" t="s">
        <v>102</v>
      </c>
      <c r="C9" s="76"/>
    </row>
    <row r="10" spans="1:3" ht="12.75">
      <c r="A10" s="74"/>
      <c r="B10" s="75" t="s">
        <v>103</v>
      </c>
      <c r="C10" s="76"/>
    </row>
    <row r="11" spans="1:3" ht="12.75">
      <c r="A11" s="74"/>
      <c r="B11" s="75" t="s">
        <v>104</v>
      </c>
      <c r="C11" s="76"/>
    </row>
    <row r="12" spans="1:3" ht="12.75">
      <c r="A12" s="74"/>
      <c r="B12" s="75" t="s">
        <v>105</v>
      </c>
      <c r="C12" s="76"/>
    </row>
    <row r="13" spans="1:3" ht="0.75" customHeight="1">
      <c r="A13" s="74"/>
      <c r="B13" s="75" t="s">
        <v>106</v>
      </c>
      <c r="C13" s="76"/>
    </row>
    <row r="14" spans="1:3" ht="25.5" customHeight="1">
      <c r="A14" s="71" t="s">
        <v>30</v>
      </c>
      <c r="B14" s="72" t="s">
        <v>107</v>
      </c>
      <c r="C14" s="76"/>
    </row>
    <row r="15" spans="1:3" ht="0.75" customHeight="1">
      <c r="A15" s="74"/>
      <c r="B15" s="75" t="s">
        <v>100</v>
      </c>
      <c r="C15" s="76"/>
    </row>
    <row r="16" spans="1:3" ht="9.75" customHeight="1">
      <c r="A16" s="74"/>
      <c r="B16" s="75" t="s">
        <v>101</v>
      </c>
      <c r="C16" s="76"/>
    </row>
    <row r="17" spans="1:3" ht="14.25" customHeight="1">
      <c r="A17" s="74"/>
      <c r="B17" s="75" t="s">
        <v>102</v>
      </c>
      <c r="C17" s="76"/>
    </row>
    <row r="18" spans="1:3" ht="15" customHeight="1">
      <c r="A18" s="74"/>
      <c r="B18" s="75" t="s">
        <v>103</v>
      </c>
      <c r="C18" s="76"/>
    </row>
    <row r="19" spans="1:3" ht="12.75" customHeight="1">
      <c r="A19" s="74"/>
      <c r="B19" s="75" t="s">
        <v>104</v>
      </c>
      <c r="C19" s="76"/>
    </row>
    <row r="20" spans="1:3" ht="15" customHeight="1">
      <c r="A20" s="74"/>
      <c r="B20" s="75" t="s">
        <v>105</v>
      </c>
      <c r="C20" s="76"/>
    </row>
    <row r="21" spans="1:3" ht="13.5" customHeight="1" hidden="1">
      <c r="A21" s="74"/>
      <c r="B21" s="75" t="s">
        <v>106</v>
      </c>
      <c r="C21" s="76"/>
    </row>
    <row r="22" spans="1:3" ht="12.75">
      <c r="A22" s="79" t="s">
        <v>32</v>
      </c>
      <c r="B22" s="72" t="s">
        <v>108</v>
      </c>
      <c r="C22" s="76"/>
    </row>
    <row r="23" spans="1:3" ht="24">
      <c r="A23" s="71" t="s">
        <v>34</v>
      </c>
      <c r="B23" s="80" t="s">
        <v>109</v>
      </c>
      <c r="C23" s="73">
        <f>C6</f>
        <v>15.83</v>
      </c>
    </row>
    <row r="24" spans="1:3" ht="12.75">
      <c r="A24" s="119"/>
      <c r="B24" s="121" t="s">
        <v>110</v>
      </c>
      <c r="C24" s="76"/>
    </row>
    <row r="25" spans="1:3" ht="1.5" customHeight="1">
      <c r="A25" s="120"/>
      <c r="B25" s="122"/>
      <c r="C25" s="76"/>
    </row>
    <row r="26" spans="1:3" ht="12.75">
      <c r="A26" s="74"/>
      <c r="B26" s="75" t="s">
        <v>102</v>
      </c>
      <c r="C26" s="76"/>
    </row>
    <row r="27" spans="1:3" ht="12.75">
      <c r="A27" s="74"/>
      <c r="B27" s="75" t="s">
        <v>103</v>
      </c>
      <c r="C27" s="76"/>
    </row>
    <row r="28" spans="1:3" ht="12.75">
      <c r="A28" s="74"/>
      <c r="B28" s="75" t="s">
        <v>104</v>
      </c>
      <c r="C28" s="76"/>
    </row>
    <row r="29" spans="1:3" ht="12.75">
      <c r="A29" s="74"/>
      <c r="B29" s="75" t="s">
        <v>105</v>
      </c>
      <c r="C29" s="76"/>
    </row>
    <row r="30" spans="1:3" ht="12.75" hidden="1">
      <c r="A30" s="74"/>
      <c r="B30" s="75" t="s">
        <v>106</v>
      </c>
      <c r="C30" s="76"/>
    </row>
    <row r="31" spans="1:3" ht="12" customHeight="1">
      <c r="A31" s="71" t="s">
        <v>36</v>
      </c>
      <c r="B31" s="84" t="s">
        <v>111</v>
      </c>
      <c r="C31" s="76"/>
    </row>
    <row r="32" spans="1:3" ht="12.75" customHeight="1" hidden="1">
      <c r="A32" s="74"/>
      <c r="B32" s="75" t="s">
        <v>100</v>
      </c>
      <c r="C32" s="76"/>
    </row>
    <row r="33" spans="1:3" ht="9.75" customHeight="1">
      <c r="A33" s="74"/>
      <c r="B33" s="75" t="s">
        <v>101</v>
      </c>
      <c r="C33" s="76"/>
    </row>
    <row r="34" spans="1:3" ht="12.75">
      <c r="A34" s="74"/>
      <c r="B34" s="75" t="s">
        <v>102</v>
      </c>
      <c r="C34" s="76"/>
    </row>
    <row r="35" spans="1:3" ht="12.75">
      <c r="A35" s="74"/>
      <c r="B35" s="75" t="s">
        <v>103</v>
      </c>
      <c r="C35" s="76"/>
    </row>
    <row r="36" spans="1:3" ht="12.75">
      <c r="A36" s="74"/>
      <c r="B36" s="75" t="s">
        <v>104</v>
      </c>
      <c r="C36" s="76"/>
    </row>
    <row r="37" spans="1:3" ht="12.75">
      <c r="A37" s="74"/>
      <c r="B37" s="75" t="s">
        <v>105</v>
      </c>
      <c r="C37" s="76"/>
    </row>
    <row r="38" spans="1:3" ht="0.75" customHeight="1" hidden="1">
      <c r="A38" s="74"/>
      <c r="B38" s="75" t="s">
        <v>106</v>
      </c>
      <c r="C38" s="76"/>
    </row>
    <row r="39" spans="1:3" ht="12.75">
      <c r="A39" s="74"/>
      <c r="B39" s="85" t="s">
        <v>101</v>
      </c>
      <c r="C39" s="76"/>
    </row>
    <row r="40" spans="1:3" ht="12.75">
      <c r="A40" s="74"/>
      <c r="B40" s="85" t="s">
        <v>112</v>
      </c>
      <c r="C40" s="76"/>
    </row>
    <row r="41" spans="1:3" ht="12.75">
      <c r="A41" s="74"/>
      <c r="B41" s="85" t="s">
        <v>113</v>
      </c>
      <c r="C41" s="76"/>
    </row>
    <row r="42" spans="1:3" ht="24">
      <c r="A42" s="71" t="s">
        <v>38</v>
      </c>
      <c r="B42" s="80" t="s">
        <v>114</v>
      </c>
      <c r="C42" s="73">
        <f>C23</f>
        <v>15.83</v>
      </c>
    </row>
    <row r="43" spans="1:3" ht="12.75" hidden="1">
      <c r="A43" s="74"/>
      <c r="B43" s="75" t="s">
        <v>100</v>
      </c>
      <c r="C43" s="76"/>
    </row>
    <row r="44" spans="1:3" ht="10.5" customHeight="1">
      <c r="A44" s="74"/>
      <c r="B44" s="75" t="s">
        <v>101</v>
      </c>
      <c r="C44" s="76"/>
    </row>
    <row r="45" spans="1:3" ht="12.75">
      <c r="A45" s="71"/>
      <c r="B45" s="75" t="s">
        <v>102</v>
      </c>
      <c r="C45" s="73"/>
    </row>
    <row r="46" spans="1:3" ht="12.75">
      <c r="A46" s="71"/>
      <c r="B46" s="75" t="s">
        <v>103</v>
      </c>
      <c r="C46" s="76"/>
    </row>
    <row r="47" spans="1:3" ht="12.75">
      <c r="A47" s="71"/>
      <c r="B47" s="75" t="s">
        <v>104</v>
      </c>
      <c r="C47" s="76"/>
    </row>
    <row r="48" spans="1:3" ht="12.75">
      <c r="A48" s="71"/>
      <c r="B48" s="75" t="s">
        <v>105</v>
      </c>
      <c r="C48" s="76"/>
    </row>
    <row r="49" spans="1:3" ht="12.75" hidden="1">
      <c r="A49" s="71"/>
      <c r="B49" s="75" t="s">
        <v>106</v>
      </c>
      <c r="C49" s="76"/>
    </row>
    <row r="50" spans="1:3" ht="12.75" customHeight="1">
      <c r="A50" s="71" t="s">
        <v>40</v>
      </c>
      <c r="B50" s="72" t="s">
        <v>115</v>
      </c>
      <c r="C50" s="73">
        <v>0.341</v>
      </c>
    </row>
    <row r="51" spans="1:3" ht="0.75" customHeight="1">
      <c r="A51" s="74"/>
      <c r="B51" s="75" t="s">
        <v>100</v>
      </c>
      <c r="C51" s="76"/>
    </row>
    <row r="52" spans="1:3" ht="11.25" customHeight="1">
      <c r="A52" s="74"/>
      <c r="B52" s="75" t="s">
        <v>101</v>
      </c>
      <c r="C52" s="76"/>
    </row>
    <row r="53" spans="1:3" ht="12.75">
      <c r="A53" s="74"/>
      <c r="B53" s="75" t="s">
        <v>102</v>
      </c>
      <c r="C53" s="76"/>
    </row>
    <row r="54" spans="1:3" ht="12.75">
      <c r="A54" s="74"/>
      <c r="B54" s="75" t="s">
        <v>103</v>
      </c>
      <c r="C54" s="76"/>
    </row>
    <row r="55" spans="1:3" ht="12.75">
      <c r="A55" s="74"/>
      <c r="B55" s="75" t="s">
        <v>104</v>
      </c>
      <c r="C55" s="76"/>
    </row>
    <row r="56" spans="1:3" ht="13.5" customHeight="1">
      <c r="A56" s="74"/>
      <c r="B56" s="75" t="s">
        <v>105</v>
      </c>
      <c r="C56" s="76"/>
    </row>
    <row r="57" spans="1:3" ht="12.75" hidden="1">
      <c r="A57" s="74"/>
      <c r="B57" s="75" t="s">
        <v>106</v>
      </c>
      <c r="C57" s="76"/>
    </row>
    <row r="58" spans="1:3" ht="12.75">
      <c r="A58" s="74"/>
      <c r="B58" s="86" t="s">
        <v>101</v>
      </c>
      <c r="C58" s="76"/>
    </row>
    <row r="59" spans="1:3" ht="11.25" customHeight="1">
      <c r="A59" s="74" t="s">
        <v>116</v>
      </c>
      <c r="B59" s="85" t="s">
        <v>117</v>
      </c>
      <c r="C59" s="76"/>
    </row>
    <row r="60" spans="1:3" ht="14.25" customHeight="1">
      <c r="A60" s="74" t="s">
        <v>118</v>
      </c>
      <c r="B60" s="85" t="s">
        <v>119</v>
      </c>
      <c r="C60" s="76"/>
    </row>
    <row r="61" spans="1:3" ht="13.5" customHeight="1">
      <c r="A61" s="87" t="s">
        <v>42</v>
      </c>
      <c r="B61" s="88" t="s">
        <v>120</v>
      </c>
      <c r="C61" s="89">
        <f>C50/C42</f>
        <v>0.021541377132027795</v>
      </c>
    </row>
    <row r="62" spans="1:3" ht="0.75" customHeight="1">
      <c r="A62" s="119"/>
      <c r="B62" s="121" t="s">
        <v>121</v>
      </c>
      <c r="C62" s="76"/>
    </row>
    <row r="63" spans="1:3" ht="9.75" customHeight="1">
      <c r="A63" s="120"/>
      <c r="B63" s="122"/>
      <c r="C63" s="76"/>
    </row>
    <row r="64" spans="1:3" ht="12.75">
      <c r="A64" s="81"/>
      <c r="B64" s="82" t="s">
        <v>102</v>
      </c>
      <c r="C64" s="76"/>
    </row>
    <row r="65" spans="1:3" ht="12.75">
      <c r="A65" s="74"/>
      <c r="B65" s="75" t="s">
        <v>103</v>
      </c>
      <c r="C65" s="76"/>
    </row>
    <row r="66" spans="1:3" ht="12.75">
      <c r="A66" s="74"/>
      <c r="B66" s="75" t="s">
        <v>104</v>
      </c>
      <c r="C66" s="76"/>
    </row>
    <row r="67" spans="1:3" ht="12.75">
      <c r="A67" s="74"/>
      <c r="B67" s="75" t="s">
        <v>105</v>
      </c>
      <c r="C67" s="76"/>
    </row>
    <row r="68" spans="1:3" ht="12.75" hidden="1">
      <c r="A68" s="74"/>
      <c r="B68" s="75" t="s">
        <v>106</v>
      </c>
      <c r="C68" s="76"/>
    </row>
    <row r="69" spans="1:3" ht="24" customHeight="1">
      <c r="A69" s="71" t="s">
        <v>50</v>
      </c>
      <c r="B69" s="80" t="s">
        <v>122</v>
      </c>
      <c r="C69" s="73">
        <f>C42-C50</f>
        <v>15.489</v>
      </c>
    </row>
    <row r="70" spans="1:3" ht="12.75" hidden="1">
      <c r="A70" s="93"/>
      <c r="B70" s="75" t="s">
        <v>123</v>
      </c>
      <c r="C70" s="76"/>
    </row>
    <row r="71" spans="1:3" ht="11.25" customHeight="1">
      <c r="A71" s="93"/>
      <c r="B71" s="75" t="s">
        <v>101</v>
      </c>
      <c r="C71" s="76"/>
    </row>
    <row r="72" spans="1:3" ht="12.75">
      <c r="A72" s="93"/>
      <c r="B72" s="75" t="s">
        <v>102</v>
      </c>
      <c r="C72" s="76"/>
    </row>
    <row r="73" spans="1:3" ht="12.75">
      <c r="A73" s="93"/>
      <c r="B73" s="75" t="s">
        <v>103</v>
      </c>
      <c r="C73" s="76"/>
    </row>
    <row r="74" spans="1:3" ht="12.75">
      <c r="A74" s="93"/>
      <c r="B74" s="75" t="s">
        <v>104</v>
      </c>
      <c r="C74" s="76"/>
    </row>
    <row r="75" spans="1:3" ht="13.5" customHeight="1" thickBot="1">
      <c r="A75" s="94"/>
      <c r="B75" s="75" t="s">
        <v>105</v>
      </c>
      <c r="C75" s="76"/>
    </row>
    <row r="76" spans="1:2" ht="12.75" hidden="1">
      <c r="A76" s="95"/>
      <c r="B76" s="96" t="s">
        <v>106</v>
      </c>
    </row>
    <row r="77" spans="1:2" ht="5.25" customHeight="1">
      <c r="A77" s="97"/>
      <c r="B77" s="98"/>
    </row>
    <row r="78" spans="1:2" ht="12.75">
      <c r="A78" s="97"/>
      <c r="B78" s="97"/>
    </row>
    <row r="79" spans="1:2" ht="12.75">
      <c r="A79" s="97"/>
      <c r="B79" s="99"/>
    </row>
    <row r="80" spans="1:2" ht="12.75">
      <c r="A80" s="97"/>
      <c r="B80" s="97"/>
    </row>
    <row r="81" spans="1:2" ht="12.75">
      <c r="A81" s="97"/>
      <c r="B81" s="97"/>
    </row>
    <row r="82" spans="1:2" ht="12.75">
      <c r="A82" s="97"/>
      <c r="B82" s="97"/>
    </row>
    <row r="83" spans="1:2" ht="12.75">
      <c r="A83" s="97"/>
      <c r="B83" s="97"/>
    </row>
    <row r="84" spans="1:2" ht="12.75">
      <c r="A84" s="97"/>
      <c r="B84" s="97"/>
    </row>
  </sheetData>
  <mergeCells count="8">
    <mergeCell ref="C4:C5"/>
    <mergeCell ref="A2:B2"/>
    <mergeCell ref="A4:A5"/>
    <mergeCell ref="B4:B5"/>
    <mergeCell ref="A24:A25"/>
    <mergeCell ref="B24:B25"/>
    <mergeCell ref="A62:A63"/>
    <mergeCell ref="B62:B6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Администратор</cp:lastModifiedBy>
  <dcterms:created xsi:type="dcterms:W3CDTF">2010-12-09T10:53:42Z</dcterms:created>
  <dcterms:modified xsi:type="dcterms:W3CDTF">2010-12-10T15:20:56Z</dcterms:modified>
  <cp:category/>
  <cp:version/>
  <cp:contentType/>
  <cp:contentStatus/>
</cp:coreProperties>
</file>